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codeName="ThisWorkbook" checkCompatibility="1" defaultThemeVersion="124226"/>
  <xr:revisionPtr revIDLastSave="0" documentId="13_ncr:1_{893FD009-D39F-4A02-BD83-326C8B760D4E}" xr6:coauthVersionLast="46" xr6:coauthVersionMax="46" xr10:uidLastSave="{00000000-0000-0000-0000-000000000000}"/>
  <bookViews>
    <workbookView xWindow="-120" yWindow="-120" windowWidth="29040" windowHeight="17025" xr2:uid="{00000000-000D-0000-FFFF-FFFF00000000}"/>
  </bookViews>
  <sheets>
    <sheet name="Distribution Avoided Cap Cost" sheetId="24" r:id="rId1"/>
    <sheet name="KU  PVRR" sheetId="14" r:id="rId2"/>
    <sheet name="KU WACOC-Tax Table" sheetId="19" r:id="rId3"/>
    <sheet name="LGE PVRR" sheetId="10" r:id="rId4"/>
    <sheet name="LGE WACOC-Tax Table" sheetId="6" r:id="rId5"/>
    <sheet name="Combined WACOC-Tax Table" sheetId="20" r:id="rId6"/>
    <sheet name="WACOC" sheetId="22" r:id="rId7"/>
  </sheets>
  <definedNames>
    <definedName name="_xlnm.Print_Area" localSheetId="0">'Distribution Avoided Cap Cost'!$A$1:$E$26</definedName>
    <definedName name="_xlnm.Print_Area" localSheetId="1">'KU  PVRR'!$A$1:$P$72</definedName>
    <definedName name="_xlnm.Print_Area" localSheetId="2">'KU WACOC-Tax Table'!$A$1:$G$53</definedName>
    <definedName name="_xlnm.Print_Area" localSheetId="3">'LGE PVRR'!$A$1:$P$74</definedName>
    <definedName name="_xlnm.Print_Area" localSheetId="4">'LGE WACOC-Tax Table'!$A$1:$G$55</definedName>
    <definedName name="_xlnm.Print_Area" localSheetId="6">WACOC!$A$1:$D$39</definedName>
    <definedName name="_xlnm.Print_Titles" localSheetId="1">'KU  PVRR'!$A:$A</definedName>
    <definedName name="_xlnm.Print_Titles" localSheetId="3">'LGE PVRR'!$A:$A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10" l="1"/>
  <c r="F23" i="10"/>
  <c r="F21" i="14" l="1"/>
  <c r="E21" i="14"/>
  <c r="C18" i="24" l="1"/>
  <c r="B18" i="24"/>
  <c r="D17" i="24"/>
  <c r="D16" i="24"/>
  <c r="D15" i="24"/>
  <c r="D14" i="24"/>
  <c r="D13" i="24"/>
  <c r="D12" i="24"/>
  <c r="D11" i="24"/>
  <c r="D10" i="24"/>
  <c r="D9" i="24"/>
  <c r="D8" i="24"/>
  <c r="M21" i="14"/>
  <c r="L21" i="14"/>
  <c r="L23" i="10"/>
  <c r="M23" i="10"/>
  <c r="B37" i="22"/>
  <c r="B36" i="22"/>
  <c r="C22" i="22"/>
  <c r="C21" i="22"/>
  <c r="C20" i="22"/>
  <c r="B22" i="22"/>
  <c r="B21" i="22"/>
  <c r="B20" i="22"/>
  <c r="B12" i="22"/>
  <c r="C11" i="22"/>
  <c r="B11" i="22"/>
  <c r="C10" i="22"/>
  <c r="B10" i="22"/>
  <c r="E13" i="6"/>
  <c r="D18" i="24" l="1"/>
  <c r="E11" i="19"/>
  <c r="E14" i="14" l="1"/>
  <c r="E14" i="10"/>
  <c r="F32" i="22" l="1"/>
  <c r="F31" i="22"/>
  <c r="F30" i="22"/>
  <c r="H23" i="22"/>
  <c r="F23" i="22"/>
  <c r="D21" i="22" s="1"/>
  <c r="G22" i="22"/>
  <c r="G21" i="22"/>
  <c r="G20" i="22"/>
  <c r="H13" i="22"/>
  <c r="F13" i="22"/>
  <c r="G12" i="22"/>
  <c r="D12" i="22"/>
  <c r="G11" i="22"/>
  <c r="D11" i="22"/>
  <c r="G10" i="22"/>
  <c r="D10" i="22"/>
  <c r="B38" i="22" l="1"/>
  <c r="E10" i="20" s="1"/>
  <c r="E11" i="20" s="1"/>
  <c r="H30" i="22"/>
  <c r="C30" i="22" s="1"/>
  <c r="C10" i="20" s="1"/>
  <c r="D20" i="22"/>
  <c r="H32" i="22"/>
  <c r="C32" i="22" s="1"/>
  <c r="H31" i="22"/>
  <c r="C31" i="22" s="1"/>
  <c r="C11" i="20" s="1"/>
  <c r="D22" i="22"/>
  <c r="F33" i="22"/>
  <c r="G31" i="22" s="1"/>
  <c r="D13" i="22"/>
  <c r="G13" i="22" s="1"/>
  <c r="I30" i="22" l="1"/>
  <c r="I31" i="22"/>
  <c r="J31" i="22" s="1"/>
  <c r="I32" i="22"/>
  <c r="B31" i="22"/>
  <c r="D23" i="22"/>
  <c r="G23" i="22" s="1"/>
  <c r="G30" i="22"/>
  <c r="B32" i="22"/>
  <c r="B30" i="22"/>
  <c r="G32" i="22"/>
  <c r="J30" i="22" l="1"/>
  <c r="D31" i="22"/>
  <c r="B11" i="20"/>
  <c r="D30" i="22"/>
  <c r="B10" i="20"/>
  <c r="D32" i="22"/>
  <c r="B12" i="20"/>
  <c r="J32" i="22"/>
  <c r="B33" i="22"/>
  <c r="G33" i="22"/>
  <c r="J33" i="22" l="1"/>
  <c r="D33" i="22"/>
  <c r="E13" i="14"/>
  <c r="E13" i="10"/>
  <c r="D11" i="20" l="1"/>
  <c r="F11" i="20" s="1"/>
  <c r="D10" i="20"/>
  <c r="F10" i="20" s="1"/>
  <c r="D12" i="20"/>
  <c r="F12" i="20" s="1"/>
  <c r="D13" i="20" l="1"/>
  <c r="F13" i="20" l="1"/>
  <c r="O70" i="10" l="1"/>
  <c r="O66" i="10"/>
  <c r="O62" i="10"/>
  <c r="O58" i="10"/>
  <c r="O54" i="10"/>
  <c r="O50" i="10"/>
  <c r="O46" i="10"/>
  <c r="O42" i="10"/>
  <c r="O38" i="10"/>
  <c r="O34" i="10"/>
  <c r="O69" i="14"/>
  <c r="O65" i="14"/>
  <c r="O61" i="14"/>
  <c r="O57" i="14"/>
  <c r="O53" i="14"/>
  <c r="O49" i="14"/>
  <c r="O45" i="14"/>
  <c r="O41" i="14"/>
  <c r="O37" i="14"/>
  <c r="O33" i="14"/>
  <c r="O69" i="10"/>
  <c r="O65" i="10"/>
  <c r="O61" i="10"/>
  <c r="O57" i="10"/>
  <c r="O53" i="10"/>
  <c r="O49" i="10"/>
  <c r="O45" i="10"/>
  <c r="O41" i="10"/>
  <c r="O37" i="10"/>
  <c r="O33" i="10"/>
  <c r="O68" i="14"/>
  <c r="O64" i="14"/>
  <c r="O60" i="14"/>
  <c r="O56" i="14"/>
  <c r="O52" i="14"/>
  <c r="O48" i="14"/>
  <c r="O44" i="14"/>
  <c r="O40" i="14"/>
  <c r="O36" i="14"/>
  <c r="O32" i="14"/>
  <c r="O72" i="10"/>
  <c r="O68" i="10"/>
  <c r="O64" i="10"/>
  <c r="O60" i="10"/>
  <c r="O56" i="10"/>
  <c r="O52" i="10"/>
  <c r="O48" i="10"/>
  <c r="O44" i="10"/>
  <c r="O40" i="10"/>
  <c r="O36" i="10"/>
  <c r="O32" i="10"/>
  <c r="O67" i="14"/>
  <c r="O63" i="14"/>
  <c r="O59" i="14"/>
  <c r="O55" i="14"/>
  <c r="O51" i="14"/>
  <c r="O47" i="14"/>
  <c r="O59" i="10"/>
  <c r="O43" i="10"/>
  <c r="O70" i="14"/>
  <c r="O54" i="14"/>
  <c r="O42" i="14"/>
  <c r="O34" i="14"/>
  <c r="O47" i="10"/>
  <c r="O58" i="14"/>
  <c r="O43" i="14"/>
  <c r="O35" i="14"/>
  <c r="O71" i="10"/>
  <c r="O55" i="10"/>
  <c r="O39" i="10"/>
  <c r="O66" i="14"/>
  <c r="O50" i="14"/>
  <c r="O39" i="14"/>
  <c r="O30" i="14"/>
  <c r="O67" i="10"/>
  <c r="O51" i="10"/>
  <c r="O35" i="10"/>
  <c r="O62" i="14"/>
  <c r="O46" i="14"/>
  <c r="O38" i="14"/>
  <c r="O31" i="14"/>
  <c r="O63" i="10"/>
  <c r="D12" i="19"/>
  <c r="F12" i="19" s="1"/>
  <c r="D11" i="19"/>
  <c r="F11" i="19" s="1"/>
  <c r="D10" i="19"/>
  <c r="F10" i="19" s="1"/>
  <c r="F13" i="19" l="1"/>
  <c r="D13" i="19"/>
  <c r="B30" i="14" l="1"/>
  <c r="C31" i="14" s="1"/>
  <c r="D31" i="14" s="1"/>
  <c r="L31" i="14" s="1"/>
  <c r="E15" i="14"/>
  <c r="U15" i="14" s="1"/>
  <c r="U13" i="14"/>
  <c r="U12" i="14"/>
  <c r="L12" i="14"/>
  <c r="U11" i="14"/>
  <c r="L11" i="14"/>
  <c r="U10" i="14"/>
  <c r="L10" i="14"/>
  <c r="Q5" i="14"/>
  <c r="Q4" i="14"/>
  <c r="I4" i="14"/>
  <c r="Q3" i="14"/>
  <c r="I3" i="14"/>
  <c r="B32" i="10"/>
  <c r="C33" i="10" s="1"/>
  <c r="E15" i="10"/>
  <c r="L15" i="10" s="1"/>
  <c r="U13" i="10"/>
  <c r="U12" i="10"/>
  <c r="L12" i="10"/>
  <c r="U11" i="10"/>
  <c r="L11" i="10"/>
  <c r="U10" i="10"/>
  <c r="L10" i="10"/>
  <c r="Q5" i="10"/>
  <c r="Q4" i="10"/>
  <c r="I4" i="10"/>
  <c r="Q3" i="10"/>
  <c r="I3" i="10"/>
  <c r="D12" i="6"/>
  <c r="F12" i="6" s="1"/>
  <c r="D13" i="6"/>
  <c r="F13" i="6" s="1"/>
  <c r="D14" i="6"/>
  <c r="F14" i="6" s="1"/>
  <c r="U14" i="14"/>
  <c r="U14" i="10"/>
  <c r="U15" i="10" l="1"/>
  <c r="L15" i="14"/>
  <c r="E46" i="14"/>
  <c r="E50" i="14"/>
  <c r="E54" i="14"/>
  <c r="E58" i="14"/>
  <c r="E62" i="14"/>
  <c r="E66" i="14"/>
  <c r="E70" i="14"/>
  <c r="E35" i="14"/>
  <c r="E39" i="14"/>
  <c r="E31" i="14"/>
  <c r="E57" i="14"/>
  <c r="E69" i="14"/>
  <c r="E42" i="14"/>
  <c r="E41" i="14"/>
  <c r="E45" i="14"/>
  <c r="E49" i="14"/>
  <c r="E53" i="14"/>
  <c r="E61" i="14"/>
  <c r="E65" i="14"/>
  <c r="E38" i="14"/>
  <c r="E44" i="14"/>
  <c r="E48" i="14"/>
  <c r="E52" i="14"/>
  <c r="E56" i="14"/>
  <c r="E60" i="14"/>
  <c r="E64" i="14"/>
  <c r="E68" i="14"/>
  <c r="E37" i="14"/>
  <c r="E43" i="14"/>
  <c r="E47" i="14"/>
  <c r="E51" i="14"/>
  <c r="E55" i="14"/>
  <c r="E59" i="14"/>
  <c r="E63" i="14"/>
  <c r="E67" i="14"/>
  <c r="E32" i="14"/>
  <c r="E36" i="14"/>
  <c r="E40" i="14"/>
  <c r="E34" i="14"/>
  <c r="E33" i="14"/>
  <c r="E37" i="10"/>
  <c r="E41" i="10"/>
  <c r="E45" i="10"/>
  <c r="E49" i="10"/>
  <c r="E53" i="10"/>
  <c r="E57" i="10"/>
  <c r="E61" i="10"/>
  <c r="E65" i="10"/>
  <c r="E69" i="10"/>
  <c r="E33" i="10"/>
  <c r="F33" i="10" s="1"/>
  <c r="E36" i="10"/>
  <c r="E40" i="10"/>
  <c r="E44" i="10"/>
  <c r="E48" i="10"/>
  <c r="E52" i="10"/>
  <c r="E56" i="10"/>
  <c r="E60" i="10"/>
  <c r="E64" i="10"/>
  <c r="E68" i="10"/>
  <c r="E72" i="10"/>
  <c r="E35" i="10"/>
  <c r="E39" i="10"/>
  <c r="E43" i="10"/>
  <c r="E47" i="10"/>
  <c r="E51" i="10"/>
  <c r="E55" i="10"/>
  <c r="E59" i="10"/>
  <c r="E63" i="10"/>
  <c r="E67" i="10"/>
  <c r="E71" i="10"/>
  <c r="E34" i="10"/>
  <c r="E38" i="10"/>
  <c r="E42" i="10"/>
  <c r="E46" i="10"/>
  <c r="E50" i="10"/>
  <c r="E54" i="10"/>
  <c r="E58" i="10"/>
  <c r="E62" i="10"/>
  <c r="E66" i="10"/>
  <c r="E70" i="10"/>
  <c r="D33" i="10"/>
  <c r="F15" i="6"/>
  <c r="D15" i="6"/>
  <c r="C32" i="14"/>
  <c r="D32" i="14" s="1"/>
  <c r="G32" i="14" l="1"/>
  <c r="G33" i="10"/>
  <c r="H33" i="10" s="1"/>
  <c r="I33" i="10" s="1"/>
  <c r="J33" i="10" s="1"/>
  <c r="L33" i="10"/>
  <c r="C34" i="10"/>
  <c r="F34" i="10"/>
  <c r="F35" i="10" s="1"/>
  <c r="F36" i="10" s="1"/>
  <c r="F37" i="10" s="1"/>
  <c r="F38" i="10" s="1"/>
  <c r="F39" i="10" s="1"/>
  <c r="F40" i="10" s="1"/>
  <c r="F41" i="10" s="1"/>
  <c r="F42" i="10" s="1"/>
  <c r="F43" i="10" s="1"/>
  <c r="F44" i="10" s="1"/>
  <c r="F45" i="10" s="1"/>
  <c r="F46" i="10" s="1"/>
  <c r="F47" i="10" s="1"/>
  <c r="F48" i="10" s="1"/>
  <c r="F49" i="10" s="1"/>
  <c r="F50" i="10" s="1"/>
  <c r="F51" i="10" s="1"/>
  <c r="F52" i="10" s="1"/>
  <c r="F53" i="10" s="1"/>
  <c r="F54" i="10" s="1"/>
  <c r="F55" i="10" s="1"/>
  <c r="F56" i="10" s="1"/>
  <c r="F57" i="10" s="1"/>
  <c r="F58" i="10" s="1"/>
  <c r="F59" i="10" s="1"/>
  <c r="F60" i="10" s="1"/>
  <c r="F61" i="10" s="1"/>
  <c r="F62" i="10" s="1"/>
  <c r="F63" i="10" s="1"/>
  <c r="F64" i="10" s="1"/>
  <c r="F65" i="10" s="1"/>
  <c r="F66" i="10" s="1"/>
  <c r="F67" i="10" s="1"/>
  <c r="F68" i="10" s="1"/>
  <c r="F69" i="10" s="1"/>
  <c r="F70" i="10" s="1"/>
  <c r="F71" i="10" s="1"/>
  <c r="F72" i="10" s="1"/>
  <c r="P32" i="10"/>
  <c r="Q32" i="10" s="1"/>
  <c r="P30" i="14"/>
  <c r="Q30" i="14" s="1"/>
  <c r="L32" i="14"/>
  <c r="C33" i="14"/>
  <c r="G33" i="14" s="1"/>
  <c r="F31" i="14"/>
  <c r="F32" i="14" s="1"/>
  <c r="F33" i="14" s="1"/>
  <c r="F34" i="14" s="1"/>
  <c r="F35" i="14" s="1"/>
  <c r="F36" i="14" s="1"/>
  <c r="F37" i="14" s="1"/>
  <c r="F38" i="14" s="1"/>
  <c r="F39" i="14" s="1"/>
  <c r="F40" i="14" s="1"/>
  <c r="F41" i="14" s="1"/>
  <c r="F42" i="14" s="1"/>
  <c r="F43" i="14" s="1"/>
  <c r="F44" i="14" s="1"/>
  <c r="F45" i="14" s="1"/>
  <c r="F46" i="14" s="1"/>
  <c r="F47" i="14" s="1"/>
  <c r="F48" i="14" s="1"/>
  <c r="F49" i="14" s="1"/>
  <c r="F50" i="14" s="1"/>
  <c r="F51" i="14" s="1"/>
  <c r="F52" i="14" s="1"/>
  <c r="F53" i="14" s="1"/>
  <c r="F54" i="14" s="1"/>
  <c r="F55" i="14" s="1"/>
  <c r="F56" i="14" s="1"/>
  <c r="F57" i="14" s="1"/>
  <c r="F58" i="14" s="1"/>
  <c r="F59" i="14" s="1"/>
  <c r="F60" i="14" s="1"/>
  <c r="F61" i="14" s="1"/>
  <c r="F62" i="14" s="1"/>
  <c r="F63" i="14" s="1"/>
  <c r="F64" i="14" s="1"/>
  <c r="F65" i="14" s="1"/>
  <c r="F66" i="14" s="1"/>
  <c r="F67" i="14" s="1"/>
  <c r="F68" i="14" s="1"/>
  <c r="F69" i="14" s="1"/>
  <c r="F70" i="14" s="1"/>
  <c r="G31" i="14"/>
  <c r="H31" i="14" s="1"/>
  <c r="D33" i="14" l="1"/>
  <c r="L33" i="14" s="1"/>
  <c r="K33" i="10"/>
  <c r="M33" i="10" s="1"/>
  <c r="D34" i="10"/>
  <c r="G34" i="10"/>
  <c r="H34" i="10" s="1"/>
  <c r="H32" i="14"/>
  <c r="I31" i="14"/>
  <c r="C34" i="14" l="1"/>
  <c r="G34" i="14" s="1"/>
  <c r="N33" i="10"/>
  <c r="P33" i="10" s="1"/>
  <c r="Q33" i="10" s="1"/>
  <c r="L34" i="10"/>
  <c r="C35" i="10"/>
  <c r="G35" i="10" s="1"/>
  <c r="H35" i="10" s="1"/>
  <c r="I34" i="10"/>
  <c r="J31" i="14"/>
  <c r="K31" i="14"/>
  <c r="M31" i="14" s="1"/>
  <c r="I32" i="14"/>
  <c r="H33" i="14"/>
  <c r="D34" i="14" l="1"/>
  <c r="C35" i="14" s="1"/>
  <c r="G35" i="14" s="1"/>
  <c r="R33" i="10"/>
  <c r="D35" i="10"/>
  <c r="I35" i="10" s="1"/>
  <c r="J34" i="10"/>
  <c r="K34" i="10"/>
  <c r="M34" i="10" s="1"/>
  <c r="J32" i="14"/>
  <c r="K32" i="14"/>
  <c r="M32" i="14" s="1"/>
  <c r="N31" i="14"/>
  <c r="R31" i="14" s="1"/>
  <c r="H34" i="14"/>
  <c r="I33" i="14"/>
  <c r="D35" i="14" l="1"/>
  <c r="C36" i="14" s="1"/>
  <c r="G36" i="14" s="1"/>
  <c r="L34" i="14"/>
  <c r="C36" i="10"/>
  <c r="G36" i="10" s="1"/>
  <c r="H36" i="10" s="1"/>
  <c r="N34" i="10"/>
  <c r="R34" i="10" s="1"/>
  <c r="L35" i="10"/>
  <c r="J35" i="10"/>
  <c r="K35" i="10"/>
  <c r="M35" i="10" s="1"/>
  <c r="J33" i="14"/>
  <c r="K33" i="14"/>
  <c r="M33" i="14" s="1"/>
  <c r="P31" i="14"/>
  <c r="Q31" i="14" s="1"/>
  <c r="N32" i="14"/>
  <c r="H35" i="14"/>
  <c r="I34" i="14"/>
  <c r="L35" i="14" l="1"/>
  <c r="D36" i="10"/>
  <c r="C37" i="10" s="1"/>
  <c r="G37" i="10" s="1"/>
  <c r="H37" i="10" s="1"/>
  <c r="P34" i="10"/>
  <c r="Q34" i="10" s="1"/>
  <c r="N35" i="10"/>
  <c r="P35" i="10" s="1"/>
  <c r="J34" i="14"/>
  <c r="K34" i="14"/>
  <c r="M34" i="14" s="1"/>
  <c r="D36" i="14"/>
  <c r="C37" i="14" s="1"/>
  <c r="H36" i="14"/>
  <c r="I35" i="14"/>
  <c r="K35" i="14" s="1"/>
  <c r="R32" i="14"/>
  <c r="P32" i="14"/>
  <c r="Q32" i="14" s="1"/>
  <c r="N33" i="14"/>
  <c r="Q35" i="10" l="1"/>
  <c r="I36" i="10"/>
  <c r="J36" i="10" s="1"/>
  <c r="L36" i="10"/>
  <c r="R35" i="10"/>
  <c r="D37" i="10"/>
  <c r="M35" i="14"/>
  <c r="J35" i="14"/>
  <c r="G37" i="14"/>
  <c r="H37" i="14" s="1"/>
  <c r="D37" i="14"/>
  <c r="L37" i="14" s="1"/>
  <c r="L36" i="14"/>
  <c r="I36" i="14"/>
  <c r="N34" i="14"/>
  <c r="R34" i="14" s="1"/>
  <c r="P33" i="14"/>
  <c r="Q33" i="14" s="1"/>
  <c r="R33" i="14"/>
  <c r="K36" i="10" l="1"/>
  <c r="M36" i="10" s="1"/>
  <c r="C38" i="14"/>
  <c r="G38" i="14" s="1"/>
  <c r="H38" i="14" s="1"/>
  <c r="I37" i="14"/>
  <c r="J37" i="14" s="1"/>
  <c r="L37" i="10"/>
  <c r="C38" i="10"/>
  <c r="G38" i="10" s="1"/>
  <c r="H38" i="10" s="1"/>
  <c r="I37" i="10"/>
  <c r="J36" i="14"/>
  <c r="K36" i="14"/>
  <c r="M36" i="14" s="1"/>
  <c r="N35" i="14"/>
  <c r="R35" i="14" s="1"/>
  <c r="P34" i="14"/>
  <c r="Q34" i="14" s="1"/>
  <c r="K37" i="14" l="1"/>
  <c r="M37" i="14" s="1"/>
  <c r="D38" i="14"/>
  <c r="L38" i="14" s="1"/>
  <c r="D38" i="10"/>
  <c r="L38" i="10" s="1"/>
  <c r="N36" i="10"/>
  <c r="R36" i="10" s="1"/>
  <c r="N36" i="14"/>
  <c r="R36" i="14" s="1"/>
  <c r="J37" i="10"/>
  <c r="K37" i="10"/>
  <c r="M37" i="10" s="1"/>
  <c r="P35" i="14"/>
  <c r="Q35" i="14" s="1"/>
  <c r="N37" i="14" l="1"/>
  <c r="R37" i="14" s="1"/>
  <c r="I38" i="14"/>
  <c r="K38" i="14" s="1"/>
  <c r="M38" i="14" s="1"/>
  <c r="C39" i="14"/>
  <c r="D39" i="14" s="1"/>
  <c r="I38" i="10"/>
  <c r="J38" i="10" s="1"/>
  <c r="C39" i="10"/>
  <c r="G39" i="10" s="1"/>
  <c r="H39" i="10" s="1"/>
  <c r="P36" i="10"/>
  <c r="Q36" i="10" s="1"/>
  <c r="P36" i="14"/>
  <c r="Q36" i="14" s="1"/>
  <c r="N37" i="10"/>
  <c r="J38" i="14" l="1"/>
  <c r="N38" i="14" s="1"/>
  <c r="P38" i="14" s="1"/>
  <c r="P37" i="14"/>
  <c r="Q37" i="14" s="1"/>
  <c r="G39" i="14"/>
  <c r="H39" i="14" s="1"/>
  <c r="I39" i="14" s="1"/>
  <c r="K38" i="10"/>
  <c r="M38" i="10" s="1"/>
  <c r="D39" i="10"/>
  <c r="I39" i="10" s="1"/>
  <c r="P37" i="10"/>
  <c r="Q37" i="10" s="1"/>
  <c r="R37" i="10"/>
  <c r="C40" i="14"/>
  <c r="L39" i="14"/>
  <c r="L39" i="10" l="1"/>
  <c r="C40" i="10"/>
  <c r="G40" i="10" s="1"/>
  <c r="H40" i="10" s="1"/>
  <c r="N38" i="10"/>
  <c r="R38" i="10" s="1"/>
  <c r="J39" i="10"/>
  <c r="K39" i="10"/>
  <c r="M39" i="10" s="1"/>
  <c r="J39" i="14"/>
  <c r="K39" i="14"/>
  <c r="M39" i="14" s="1"/>
  <c r="Q38" i="14"/>
  <c r="R38" i="14"/>
  <c r="G40" i="14"/>
  <c r="H40" i="14" s="1"/>
  <c r="D40" i="14"/>
  <c r="D40" i="10" l="1"/>
  <c r="C41" i="10" s="1"/>
  <c r="G41" i="10" s="1"/>
  <c r="H41" i="10" s="1"/>
  <c r="P38" i="10"/>
  <c r="Q38" i="10" s="1"/>
  <c r="L40" i="10"/>
  <c r="N39" i="10"/>
  <c r="N39" i="14"/>
  <c r="R39" i="14" s="1"/>
  <c r="L40" i="14"/>
  <c r="C41" i="14"/>
  <c r="G41" i="14" s="1"/>
  <c r="H41" i="14" s="1"/>
  <c r="I40" i="14"/>
  <c r="I40" i="10" l="1"/>
  <c r="J40" i="10" s="1"/>
  <c r="D41" i="10"/>
  <c r="C42" i="10" s="1"/>
  <c r="G42" i="10" s="1"/>
  <c r="H42" i="10" s="1"/>
  <c r="P39" i="10"/>
  <c r="Q39" i="10" s="1"/>
  <c r="R39" i="10"/>
  <c r="J40" i="14"/>
  <c r="K40" i="14"/>
  <c r="M40" i="14" s="1"/>
  <c r="P39" i="14"/>
  <c r="Q39" i="14" s="1"/>
  <c r="D41" i="14"/>
  <c r="K40" i="10" l="1"/>
  <c r="M40" i="10" s="1"/>
  <c r="I41" i="10"/>
  <c r="K41" i="10" s="1"/>
  <c r="M41" i="10" s="1"/>
  <c r="L41" i="10"/>
  <c r="D42" i="10"/>
  <c r="L41" i="14"/>
  <c r="C42" i="14"/>
  <c r="G42" i="14" s="1"/>
  <c r="H42" i="14" s="1"/>
  <c r="I41" i="14"/>
  <c r="N40" i="14"/>
  <c r="N40" i="10" l="1"/>
  <c r="R40" i="10" s="1"/>
  <c r="J41" i="10"/>
  <c r="N41" i="10" s="1"/>
  <c r="P41" i="10" s="1"/>
  <c r="D42" i="14"/>
  <c r="C43" i="14" s="1"/>
  <c r="G43" i="14" s="1"/>
  <c r="H43" i="14" s="1"/>
  <c r="I42" i="10"/>
  <c r="C43" i="10"/>
  <c r="L42" i="10"/>
  <c r="J41" i="14"/>
  <c r="K41" i="14"/>
  <c r="M41" i="14" s="1"/>
  <c r="R40" i="14"/>
  <c r="P40" i="14"/>
  <c r="Q40" i="14" s="1"/>
  <c r="P40" i="10" l="1"/>
  <c r="Q40" i="10" s="1"/>
  <c r="Q41" i="10" s="1"/>
  <c r="D43" i="14"/>
  <c r="I43" i="14" s="1"/>
  <c r="L42" i="14"/>
  <c r="I42" i="14"/>
  <c r="K42" i="14" s="1"/>
  <c r="M42" i="14" s="1"/>
  <c r="R41" i="10"/>
  <c r="G43" i="10"/>
  <c r="H43" i="10" s="1"/>
  <c r="J42" i="10"/>
  <c r="K42" i="10"/>
  <c r="M42" i="10" s="1"/>
  <c r="D43" i="10"/>
  <c r="N41" i="14"/>
  <c r="L43" i="14" l="1"/>
  <c r="C44" i="14"/>
  <c r="D44" i="14" s="1"/>
  <c r="L44" i="14" s="1"/>
  <c r="N42" i="10"/>
  <c r="R42" i="10" s="1"/>
  <c r="J42" i="14"/>
  <c r="N42" i="14" s="1"/>
  <c r="P42" i="14" s="1"/>
  <c r="L43" i="10"/>
  <c r="C44" i="10"/>
  <c r="I43" i="10"/>
  <c r="J43" i="14"/>
  <c r="K43" i="14"/>
  <c r="M43" i="14" s="1"/>
  <c r="P41" i="14"/>
  <c r="Q41" i="14" s="1"/>
  <c r="R41" i="14"/>
  <c r="G44" i="14" l="1"/>
  <c r="H44" i="14" s="1"/>
  <c r="I44" i="14" s="1"/>
  <c r="C45" i="14"/>
  <c r="G45" i="14" s="1"/>
  <c r="H45" i="14" s="1"/>
  <c r="P42" i="10"/>
  <c r="Q42" i="10" s="1"/>
  <c r="R42" i="14"/>
  <c r="K43" i="10"/>
  <c r="M43" i="10" s="1"/>
  <c r="J43" i="10"/>
  <c r="D44" i="10"/>
  <c r="G44" i="10"/>
  <c r="H44" i="10" s="1"/>
  <c r="N43" i="14"/>
  <c r="Q42" i="14"/>
  <c r="D45" i="14" l="1"/>
  <c r="L45" i="14" s="1"/>
  <c r="L44" i="10"/>
  <c r="C45" i="10"/>
  <c r="I44" i="10"/>
  <c r="N43" i="10"/>
  <c r="J44" i="14"/>
  <c r="K44" i="14"/>
  <c r="M44" i="14" s="1"/>
  <c r="P43" i="14"/>
  <c r="Q43" i="14" s="1"/>
  <c r="R43" i="14"/>
  <c r="C46" i="14"/>
  <c r="D46" i="14" s="1"/>
  <c r="I45" i="14"/>
  <c r="G45" i="10" l="1"/>
  <c r="H45" i="10" s="1"/>
  <c r="P43" i="10"/>
  <c r="Q43" i="10" s="1"/>
  <c r="R43" i="10"/>
  <c r="D45" i="10"/>
  <c r="K44" i="10"/>
  <c r="M44" i="10" s="1"/>
  <c r="J44" i="10"/>
  <c r="J45" i="14"/>
  <c r="K45" i="14"/>
  <c r="M45" i="14" s="1"/>
  <c r="L46" i="14"/>
  <c r="C47" i="14"/>
  <c r="G47" i="14" s="1"/>
  <c r="G46" i="14"/>
  <c r="H46" i="14" s="1"/>
  <c r="I46" i="14" s="1"/>
  <c r="N44" i="14"/>
  <c r="C46" i="10" l="1"/>
  <c r="I45" i="10"/>
  <c r="L45" i="10"/>
  <c r="N44" i="10"/>
  <c r="J46" i="14"/>
  <c r="K46" i="14"/>
  <c r="M46" i="14" s="1"/>
  <c r="N45" i="14"/>
  <c r="R45" i="14" s="1"/>
  <c r="R44" i="14"/>
  <c r="P44" i="14"/>
  <c r="Q44" i="14" s="1"/>
  <c r="H47" i="14"/>
  <c r="D47" i="14"/>
  <c r="K45" i="10" l="1"/>
  <c r="M45" i="10" s="1"/>
  <c r="J45" i="10"/>
  <c r="P44" i="10"/>
  <c r="Q44" i="10" s="1"/>
  <c r="R44" i="10"/>
  <c r="G46" i="10"/>
  <c r="H46" i="10" s="1"/>
  <c r="D46" i="10"/>
  <c r="P45" i="14"/>
  <c r="Q45" i="14" s="1"/>
  <c r="N46" i="14"/>
  <c r="R46" i="14" s="1"/>
  <c r="L47" i="14"/>
  <c r="C48" i="14"/>
  <c r="I47" i="14"/>
  <c r="N45" i="10" l="1"/>
  <c r="L46" i="10"/>
  <c r="I46" i="10"/>
  <c r="C47" i="10"/>
  <c r="D47" i="10" s="1"/>
  <c r="J47" i="14"/>
  <c r="K47" i="14"/>
  <c r="M47" i="14" s="1"/>
  <c r="P46" i="14"/>
  <c r="Q46" i="14" s="1"/>
  <c r="G48" i="14"/>
  <c r="H48" i="14" s="1"/>
  <c r="D48" i="14"/>
  <c r="R45" i="10" l="1"/>
  <c r="P45" i="10"/>
  <c r="Q45" i="10" s="1"/>
  <c r="J46" i="10"/>
  <c r="K46" i="10"/>
  <c r="M46" i="10" s="1"/>
  <c r="L47" i="10"/>
  <c r="C48" i="10"/>
  <c r="G47" i="10"/>
  <c r="H47" i="10" s="1"/>
  <c r="N47" i="14"/>
  <c r="R47" i="14" s="1"/>
  <c r="L48" i="14"/>
  <c r="C49" i="14"/>
  <c r="I48" i="14"/>
  <c r="N46" i="10" l="1"/>
  <c r="P46" i="10" s="1"/>
  <c r="Q46" i="10" s="1"/>
  <c r="G48" i="10"/>
  <c r="H48" i="10" s="1"/>
  <c r="I47" i="10"/>
  <c r="D48" i="10"/>
  <c r="J48" i="14"/>
  <c r="K48" i="14"/>
  <c r="M48" i="14" s="1"/>
  <c r="P47" i="14"/>
  <c r="Q47" i="14" s="1"/>
  <c r="G49" i="14"/>
  <c r="H49" i="14" s="1"/>
  <c r="D49" i="14"/>
  <c r="R46" i="10" l="1"/>
  <c r="J47" i="10"/>
  <c r="K47" i="10"/>
  <c r="M47" i="10" s="1"/>
  <c r="C49" i="10"/>
  <c r="L48" i="10"/>
  <c r="I48" i="10"/>
  <c r="L49" i="14"/>
  <c r="C50" i="14"/>
  <c r="G50" i="14" s="1"/>
  <c r="H50" i="14" s="1"/>
  <c r="I49" i="14"/>
  <c r="N48" i="14"/>
  <c r="N47" i="10" l="1"/>
  <c r="P47" i="10" s="1"/>
  <c r="Q47" i="10" s="1"/>
  <c r="G49" i="10"/>
  <c r="H49" i="10" s="1"/>
  <c r="K48" i="10"/>
  <c r="M48" i="10" s="1"/>
  <c r="J48" i="10"/>
  <c r="D49" i="10"/>
  <c r="J49" i="14"/>
  <c r="K49" i="14"/>
  <c r="M49" i="14" s="1"/>
  <c r="D50" i="14"/>
  <c r="C51" i="14" s="1"/>
  <c r="G51" i="14" s="1"/>
  <c r="H51" i="14" s="1"/>
  <c r="R48" i="14"/>
  <c r="P48" i="14"/>
  <c r="Q48" i="14" s="1"/>
  <c r="L50" i="14" l="1"/>
  <c r="R47" i="10"/>
  <c r="L49" i="10"/>
  <c r="C50" i="10"/>
  <c r="I49" i="10"/>
  <c r="N48" i="10"/>
  <c r="I50" i="14"/>
  <c r="N49" i="14"/>
  <c r="D51" i="14"/>
  <c r="G50" i="10" l="1"/>
  <c r="H50" i="10" s="1"/>
  <c r="P48" i="10"/>
  <c r="Q48" i="10" s="1"/>
  <c r="R48" i="10"/>
  <c r="J49" i="10"/>
  <c r="K49" i="10"/>
  <c r="M49" i="10" s="1"/>
  <c r="D50" i="10"/>
  <c r="J50" i="14"/>
  <c r="K50" i="14"/>
  <c r="M50" i="14" s="1"/>
  <c r="C52" i="14"/>
  <c r="D52" i="14" s="1"/>
  <c r="L51" i="14"/>
  <c r="I51" i="14"/>
  <c r="P49" i="14"/>
  <c r="Q49" i="14" s="1"/>
  <c r="R49" i="14"/>
  <c r="N49" i="10" l="1"/>
  <c r="P49" i="10" s="1"/>
  <c r="Q49" i="10" s="1"/>
  <c r="I50" i="10"/>
  <c r="L50" i="10"/>
  <c r="C51" i="10"/>
  <c r="N50" i="14"/>
  <c r="P50" i="14" s="1"/>
  <c r="Q50" i="14" s="1"/>
  <c r="J51" i="14"/>
  <c r="K51" i="14"/>
  <c r="M51" i="14" s="1"/>
  <c r="L52" i="14"/>
  <c r="C53" i="14"/>
  <c r="D53" i="14" s="1"/>
  <c r="G52" i="14"/>
  <c r="H52" i="14" s="1"/>
  <c r="R49" i="10" l="1"/>
  <c r="G51" i="10"/>
  <c r="H51" i="10" s="1"/>
  <c r="D51" i="10"/>
  <c r="K50" i="10"/>
  <c r="M50" i="10" s="1"/>
  <c r="J50" i="10"/>
  <c r="R50" i="14"/>
  <c r="C54" i="14"/>
  <c r="D54" i="14" s="1"/>
  <c r="L53" i="14"/>
  <c r="G53" i="14"/>
  <c r="H53" i="14" s="1"/>
  <c r="N51" i="14"/>
  <c r="I52" i="14"/>
  <c r="N50" i="10" l="1"/>
  <c r="R50" i="10" s="1"/>
  <c r="I51" i="10"/>
  <c r="C52" i="10"/>
  <c r="D52" i="10" s="1"/>
  <c r="L51" i="10"/>
  <c r="J52" i="14"/>
  <c r="K52" i="14"/>
  <c r="M52" i="14" s="1"/>
  <c r="I53" i="14"/>
  <c r="C55" i="14"/>
  <c r="D55" i="14" s="1"/>
  <c r="L54" i="14"/>
  <c r="G54" i="14"/>
  <c r="H54" i="14" s="1"/>
  <c r="P51" i="14"/>
  <c r="Q51" i="14" s="1"/>
  <c r="R51" i="14"/>
  <c r="P50" i="10" l="1"/>
  <c r="Q50" i="10" s="1"/>
  <c r="J51" i="10"/>
  <c r="K51" i="10"/>
  <c r="M51" i="10" s="1"/>
  <c r="L52" i="10"/>
  <c r="C53" i="10"/>
  <c r="G52" i="10"/>
  <c r="H52" i="10" s="1"/>
  <c r="I52" i="10" s="1"/>
  <c r="J53" i="14"/>
  <c r="K53" i="14"/>
  <c r="M53" i="14" s="1"/>
  <c r="I54" i="14"/>
  <c r="L55" i="14"/>
  <c r="C56" i="14"/>
  <c r="G56" i="14" s="1"/>
  <c r="G55" i="14"/>
  <c r="H55" i="14" s="1"/>
  <c r="N52" i="14"/>
  <c r="K52" i="10" l="1"/>
  <c r="M52" i="10" s="1"/>
  <c r="J52" i="10"/>
  <c r="G53" i="10"/>
  <c r="H53" i="10" s="1"/>
  <c r="N51" i="10"/>
  <c r="D53" i="10"/>
  <c r="N53" i="14"/>
  <c r="R53" i="14" s="1"/>
  <c r="J54" i="14"/>
  <c r="K54" i="14"/>
  <c r="M54" i="14" s="1"/>
  <c r="H56" i="14"/>
  <c r="I55" i="14"/>
  <c r="R52" i="14"/>
  <c r="P52" i="14"/>
  <c r="Q52" i="14" s="1"/>
  <c r="D56" i="14"/>
  <c r="P53" i="14" l="1"/>
  <c r="Q53" i="14" s="1"/>
  <c r="N52" i="10"/>
  <c r="R51" i="10"/>
  <c r="P51" i="10"/>
  <c r="Q51" i="10" s="1"/>
  <c r="C54" i="10"/>
  <c r="D54" i="10" s="1"/>
  <c r="I53" i="10"/>
  <c r="L53" i="10"/>
  <c r="J55" i="14"/>
  <c r="K55" i="14"/>
  <c r="M55" i="14" s="1"/>
  <c r="L56" i="14"/>
  <c r="C57" i="14"/>
  <c r="D57" i="14" s="1"/>
  <c r="I56" i="14"/>
  <c r="N54" i="14"/>
  <c r="L54" i="10" l="1"/>
  <c r="C55" i="10"/>
  <c r="D55" i="10" s="1"/>
  <c r="P52" i="10"/>
  <c r="Q52" i="10" s="1"/>
  <c r="R52" i="10"/>
  <c r="K53" i="10"/>
  <c r="M53" i="10" s="1"/>
  <c r="J53" i="10"/>
  <c r="G54" i="10"/>
  <c r="H54" i="10" s="1"/>
  <c r="J56" i="14"/>
  <c r="K56" i="14"/>
  <c r="M56" i="14" s="1"/>
  <c r="N55" i="14"/>
  <c r="P55" i="14" s="1"/>
  <c r="P54" i="14"/>
  <c r="Q54" i="14" s="1"/>
  <c r="R54" i="14"/>
  <c r="C58" i="14"/>
  <c r="D58" i="14" s="1"/>
  <c r="L57" i="14"/>
  <c r="G57" i="14"/>
  <c r="H57" i="14" s="1"/>
  <c r="I57" i="14" s="1"/>
  <c r="C56" i="10" l="1"/>
  <c r="L55" i="10"/>
  <c r="G55" i="10"/>
  <c r="H55" i="10" s="1"/>
  <c r="I55" i="10" s="1"/>
  <c r="N53" i="10"/>
  <c r="I54" i="10"/>
  <c r="J57" i="14"/>
  <c r="K57" i="14"/>
  <c r="M57" i="14" s="1"/>
  <c r="R55" i="14"/>
  <c r="Q55" i="14"/>
  <c r="L58" i="14"/>
  <c r="C59" i="14"/>
  <c r="G59" i="14" s="1"/>
  <c r="G58" i="14"/>
  <c r="H58" i="14" s="1"/>
  <c r="N56" i="14"/>
  <c r="D59" i="14" l="1"/>
  <c r="L59" i="14" s="1"/>
  <c r="J55" i="10"/>
  <c r="K55" i="10"/>
  <c r="M55" i="10" s="1"/>
  <c r="G56" i="10"/>
  <c r="H56" i="10" s="1"/>
  <c r="D56" i="10"/>
  <c r="P53" i="10"/>
  <c r="Q53" i="10" s="1"/>
  <c r="R53" i="10"/>
  <c r="K54" i="10"/>
  <c r="M54" i="10" s="1"/>
  <c r="J54" i="10"/>
  <c r="N57" i="14"/>
  <c r="P57" i="14" s="1"/>
  <c r="H59" i="14"/>
  <c r="I58" i="14"/>
  <c r="P56" i="14"/>
  <c r="Q56" i="14" s="1"/>
  <c r="R56" i="14"/>
  <c r="C60" i="14" l="1"/>
  <c r="G60" i="14" s="1"/>
  <c r="H60" i="14" s="1"/>
  <c r="N55" i="10"/>
  <c r="R55" i="10" s="1"/>
  <c r="N54" i="10"/>
  <c r="P54" i="10" s="1"/>
  <c r="Q54" i="10" s="1"/>
  <c r="L56" i="10"/>
  <c r="C57" i="10"/>
  <c r="I56" i="10"/>
  <c r="J58" i="14"/>
  <c r="K58" i="14"/>
  <c r="M58" i="14" s="1"/>
  <c r="R57" i="14"/>
  <c r="I59" i="14"/>
  <c r="Q57" i="14"/>
  <c r="D60" i="14" l="1"/>
  <c r="L60" i="14" s="1"/>
  <c r="P55" i="10"/>
  <c r="Q55" i="10" s="1"/>
  <c r="R54" i="10"/>
  <c r="K56" i="10"/>
  <c r="M56" i="10" s="1"/>
  <c r="J56" i="10"/>
  <c r="D57" i="10"/>
  <c r="G57" i="10"/>
  <c r="H57" i="10" s="1"/>
  <c r="J59" i="14"/>
  <c r="K59" i="14"/>
  <c r="M59" i="14" s="1"/>
  <c r="N58" i="14"/>
  <c r="P58" i="14" s="1"/>
  <c r="Q58" i="14" s="1"/>
  <c r="I60" i="14" l="1"/>
  <c r="J60" i="14" s="1"/>
  <c r="C61" i="14"/>
  <c r="N56" i="10"/>
  <c r="L57" i="10"/>
  <c r="C58" i="10"/>
  <c r="I57" i="10"/>
  <c r="R58" i="14"/>
  <c r="N59" i="14"/>
  <c r="K60" i="14" l="1"/>
  <c r="M60" i="14" s="1"/>
  <c r="N60" i="14" s="1"/>
  <c r="R60" i="14" s="1"/>
  <c r="G61" i="14"/>
  <c r="H61" i="14" s="1"/>
  <c r="D61" i="14"/>
  <c r="P56" i="10"/>
  <c r="Q56" i="10" s="1"/>
  <c r="R56" i="10"/>
  <c r="D58" i="10"/>
  <c r="G58" i="10"/>
  <c r="H58" i="10" s="1"/>
  <c r="K57" i="10"/>
  <c r="M57" i="10" s="1"/>
  <c r="J57" i="10"/>
  <c r="R59" i="14"/>
  <c r="P59" i="14"/>
  <c r="Q59" i="14" s="1"/>
  <c r="L61" i="14" l="1"/>
  <c r="C62" i="14"/>
  <c r="I61" i="14"/>
  <c r="P60" i="14"/>
  <c r="Q60" i="14" s="1"/>
  <c r="C59" i="10"/>
  <c r="L58" i="10"/>
  <c r="I58" i="10"/>
  <c r="N57" i="10"/>
  <c r="K61" i="14" l="1"/>
  <c r="M61" i="14" s="1"/>
  <c r="J61" i="14"/>
  <c r="G62" i="14"/>
  <c r="H62" i="14" s="1"/>
  <c r="D62" i="14"/>
  <c r="G59" i="10"/>
  <c r="H59" i="10" s="1"/>
  <c r="J58" i="10"/>
  <c r="K58" i="10"/>
  <c r="M58" i="10" s="1"/>
  <c r="P57" i="10"/>
  <c r="Q57" i="10" s="1"/>
  <c r="R57" i="10"/>
  <c r="D59" i="10"/>
  <c r="C63" i="14" l="1"/>
  <c r="I62" i="14"/>
  <c r="L62" i="14"/>
  <c r="N61" i="14"/>
  <c r="N58" i="10"/>
  <c r="P58" i="10" s="1"/>
  <c r="Q58" i="10" s="1"/>
  <c r="C60" i="10"/>
  <c r="L59" i="10"/>
  <c r="I59" i="10"/>
  <c r="P61" i="14" l="1"/>
  <c r="Q61" i="14" s="1"/>
  <c r="R61" i="14"/>
  <c r="K62" i="14"/>
  <c r="M62" i="14" s="1"/>
  <c r="J62" i="14"/>
  <c r="G63" i="14"/>
  <c r="H63" i="14" s="1"/>
  <c r="D63" i="14"/>
  <c r="R58" i="10"/>
  <c r="D60" i="10"/>
  <c r="G60" i="10"/>
  <c r="H60" i="10" s="1"/>
  <c r="J59" i="10"/>
  <c r="K59" i="10"/>
  <c r="M59" i="10" s="1"/>
  <c r="N62" i="14" l="1"/>
  <c r="L63" i="14"/>
  <c r="I63" i="14"/>
  <c r="C64" i="14"/>
  <c r="L60" i="10"/>
  <c r="C61" i="10"/>
  <c r="I60" i="10"/>
  <c r="N59" i="10"/>
  <c r="P62" i="14" l="1"/>
  <c r="Q62" i="14" s="1"/>
  <c r="R62" i="14"/>
  <c r="D64" i="14"/>
  <c r="G64" i="14"/>
  <c r="H64" i="14" s="1"/>
  <c r="J63" i="14"/>
  <c r="K63" i="14"/>
  <c r="M63" i="14" s="1"/>
  <c r="G61" i="10"/>
  <c r="H61" i="10" s="1"/>
  <c r="R59" i="10"/>
  <c r="P59" i="10"/>
  <c r="Q59" i="10" s="1"/>
  <c r="J60" i="10"/>
  <c r="K60" i="10"/>
  <c r="M60" i="10" s="1"/>
  <c r="D61" i="10"/>
  <c r="N63" i="14" l="1"/>
  <c r="I64" i="14"/>
  <c r="L64" i="14"/>
  <c r="C65" i="14"/>
  <c r="N60" i="10"/>
  <c r="R60" i="10" s="1"/>
  <c r="I61" i="10"/>
  <c r="C62" i="10"/>
  <c r="D62" i="10" s="1"/>
  <c r="L61" i="10"/>
  <c r="R63" i="14" l="1"/>
  <c r="P63" i="14"/>
  <c r="Q63" i="14" s="1"/>
  <c r="D65" i="14"/>
  <c r="G65" i="14"/>
  <c r="H65" i="14" s="1"/>
  <c r="K64" i="14"/>
  <c r="M64" i="14" s="1"/>
  <c r="J64" i="14"/>
  <c r="P60" i="10"/>
  <c r="Q60" i="10" s="1"/>
  <c r="L62" i="10"/>
  <c r="C63" i="10"/>
  <c r="G62" i="10"/>
  <c r="H62" i="10" s="1"/>
  <c r="J61" i="10"/>
  <c r="K61" i="10"/>
  <c r="M61" i="10" s="1"/>
  <c r="N64" i="14" l="1"/>
  <c r="P64" i="14" s="1"/>
  <c r="Q64" i="14" s="1"/>
  <c r="L65" i="14"/>
  <c r="C66" i="14"/>
  <c r="G66" i="14" s="1"/>
  <c r="H66" i="14" s="1"/>
  <c r="I65" i="14"/>
  <c r="N61" i="10"/>
  <c r="R61" i="10" s="1"/>
  <c r="I62" i="10"/>
  <c r="G63" i="10"/>
  <c r="H63" i="10" s="1"/>
  <c r="D63" i="10"/>
  <c r="R64" i="14" l="1"/>
  <c r="D66" i="14"/>
  <c r="C67" i="14" s="1"/>
  <c r="K65" i="14"/>
  <c r="M65" i="14" s="1"/>
  <c r="J65" i="14"/>
  <c r="P61" i="10"/>
  <c r="Q61" i="10" s="1"/>
  <c r="J62" i="10"/>
  <c r="K62" i="10"/>
  <c r="M62" i="10" s="1"/>
  <c r="L63" i="10"/>
  <c r="I63" i="10"/>
  <c r="C64" i="10"/>
  <c r="I66" i="14" l="1"/>
  <c r="L66" i="14"/>
  <c r="N65" i="14"/>
  <c r="J66" i="14"/>
  <c r="K66" i="14"/>
  <c r="M66" i="14" s="1"/>
  <c r="G67" i="14"/>
  <c r="H67" i="14" s="1"/>
  <c r="D67" i="14"/>
  <c r="N62" i="10"/>
  <c r="K63" i="10"/>
  <c r="M63" i="10" s="1"/>
  <c r="J63" i="10"/>
  <c r="G64" i="10"/>
  <c r="H64" i="10" s="1"/>
  <c r="D64" i="10"/>
  <c r="I67" i="14" l="1"/>
  <c r="L67" i="14"/>
  <c r="C68" i="14"/>
  <c r="D68" i="14" s="1"/>
  <c r="N66" i="14"/>
  <c r="P65" i="14"/>
  <c r="Q65" i="14" s="1"/>
  <c r="R65" i="14"/>
  <c r="P62" i="10"/>
  <c r="Q62" i="10" s="1"/>
  <c r="R62" i="10"/>
  <c r="L64" i="10"/>
  <c r="I64" i="10"/>
  <c r="C65" i="10"/>
  <c r="N63" i="10"/>
  <c r="I68" i="14" l="1"/>
  <c r="C69" i="14"/>
  <c r="G69" i="14" s="1"/>
  <c r="L68" i="14"/>
  <c r="G68" i="14"/>
  <c r="H68" i="14" s="1"/>
  <c r="R66" i="14"/>
  <c r="P66" i="14"/>
  <c r="Q66" i="14" s="1"/>
  <c r="J67" i="14"/>
  <c r="K67" i="14"/>
  <c r="M67" i="14" s="1"/>
  <c r="G65" i="10"/>
  <c r="H65" i="10" s="1"/>
  <c r="P63" i="10"/>
  <c r="Q63" i="10" s="1"/>
  <c r="R63" i="10"/>
  <c r="K64" i="10"/>
  <c r="M64" i="10" s="1"/>
  <c r="J64" i="10"/>
  <c r="D65" i="10"/>
  <c r="N67" i="14" l="1"/>
  <c r="D69" i="14"/>
  <c r="P67" i="14"/>
  <c r="Q67" i="14" s="1"/>
  <c r="R67" i="14"/>
  <c r="K68" i="14"/>
  <c r="M68" i="14" s="1"/>
  <c r="J68" i="14"/>
  <c r="L69" i="14"/>
  <c r="I69" i="14"/>
  <c r="C70" i="14"/>
  <c r="H69" i="14"/>
  <c r="N64" i="10"/>
  <c r="I65" i="10"/>
  <c r="L65" i="10"/>
  <c r="C66" i="10"/>
  <c r="G70" i="14" l="1"/>
  <c r="H70" i="14" s="1"/>
  <c r="D70" i="14"/>
  <c r="N68" i="14"/>
  <c r="K69" i="14"/>
  <c r="M69" i="14" s="1"/>
  <c r="J69" i="14"/>
  <c r="G66" i="10"/>
  <c r="H66" i="10" s="1"/>
  <c r="P64" i="10"/>
  <c r="Q64" i="10" s="1"/>
  <c r="R64" i="10"/>
  <c r="J65" i="10"/>
  <c r="K65" i="10"/>
  <c r="M65" i="10" s="1"/>
  <c r="D66" i="10"/>
  <c r="N69" i="14" l="1"/>
  <c r="R69" i="14" s="1"/>
  <c r="P68" i="14"/>
  <c r="Q68" i="14" s="1"/>
  <c r="R68" i="14"/>
  <c r="L70" i="14"/>
  <c r="I70" i="14"/>
  <c r="N65" i="10"/>
  <c r="R65" i="10" s="1"/>
  <c r="I66" i="10"/>
  <c r="C67" i="10"/>
  <c r="D67" i="10" s="1"/>
  <c r="L66" i="10"/>
  <c r="P69" i="14" l="1"/>
  <c r="Q69" i="14" s="1"/>
  <c r="K70" i="14"/>
  <c r="M70" i="14" s="1"/>
  <c r="J70" i="14"/>
  <c r="P65" i="10"/>
  <c r="Q65" i="10" s="1"/>
  <c r="K66" i="10"/>
  <c r="M66" i="10" s="1"/>
  <c r="J66" i="10"/>
  <c r="C68" i="10"/>
  <c r="D68" i="10" s="1"/>
  <c r="L67" i="10"/>
  <c r="I67" i="10"/>
  <c r="G67" i="10"/>
  <c r="H67" i="10" s="1"/>
  <c r="N70" i="14" l="1"/>
  <c r="N66" i="10"/>
  <c r="R66" i="10" s="1"/>
  <c r="K67" i="10"/>
  <c r="M67" i="10" s="1"/>
  <c r="J67" i="10"/>
  <c r="I68" i="10"/>
  <c r="C69" i="10"/>
  <c r="L68" i="10"/>
  <c r="G68" i="10"/>
  <c r="H68" i="10" s="1"/>
  <c r="R70" i="14" l="1"/>
  <c r="P70" i="14"/>
  <c r="P66" i="10"/>
  <c r="Q66" i="10" s="1"/>
  <c r="K68" i="10"/>
  <c r="M68" i="10" s="1"/>
  <c r="J68" i="10"/>
  <c r="N67" i="10"/>
  <c r="G69" i="10"/>
  <c r="H69" i="10" s="1"/>
  <c r="D69" i="10"/>
  <c r="P72" i="14" l="1"/>
  <c r="Q70" i="14"/>
  <c r="R67" i="10"/>
  <c r="P67" i="10"/>
  <c r="L69" i="10"/>
  <c r="I69" i="10"/>
  <c r="C70" i="10"/>
  <c r="N68" i="10"/>
  <c r="E18" i="14" l="1"/>
  <c r="F18" i="14" s="1"/>
  <c r="M18" i="14" s="1"/>
  <c r="E19" i="14"/>
  <c r="F19" i="14" s="1"/>
  <c r="M19" i="14" s="1"/>
  <c r="P68" i="10"/>
  <c r="R68" i="10"/>
  <c r="D70" i="10"/>
  <c r="G70" i="10"/>
  <c r="H70" i="10" s="1"/>
  <c r="Q67" i="10"/>
  <c r="J69" i="10"/>
  <c r="K69" i="10"/>
  <c r="M69" i="10" s="1"/>
  <c r="U18" i="14" l="1"/>
  <c r="L18" i="14"/>
  <c r="E20" i="14"/>
  <c r="L19" i="14"/>
  <c r="L20" i="14" s="1"/>
  <c r="U19" i="14"/>
  <c r="Q68" i="10"/>
  <c r="I70" i="10"/>
  <c r="C71" i="10"/>
  <c r="D71" i="10" s="1"/>
  <c r="L70" i="10"/>
  <c r="N69" i="10"/>
  <c r="U20" i="14" l="1"/>
  <c r="E22" i="14"/>
  <c r="F20" i="14"/>
  <c r="G71" i="10"/>
  <c r="H71" i="10" s="1"/>
  <c r="L71" i="10"/>
  <c r="I71" i="10"/>
  <c r="C72" i="10"/>
  <c r="K70" i="10"/>
  <c r="M70" i="10" s="1"/>
  <c r="J70" i="10"/>
  <c r="P69" i="10"/>
  <c r="R69" i="10"/>
  <c r="M20" i="14" l="1"/>
  <c r="F22" i="14"/>
  <c r="Q69" i="10"/>
  <c r="G72" i="10"/>
  <c r="H72" i="10" s="1"/>
  <c r="J71" i="10"/>
  <c r="K71" i="10"/>
  <c r="M71" i="10" s="1"/>
  <c r="D72" i="10"/>
  <c r="N70" i="10"/>
  <c r="B20" i="24" l="1"/>
  <c r="B22" i="24" s="1"/>
  <c r="B26" i="24" s="1"/>
  <c r="M22" i="14"/>
  <c r="N71" i="10"/>
  <c r="R71" i="10" s="1"/>
  <c r="L72" i="10"/>
  <c r="I72" i="10"/>
  <c r="P70" i="10"/>
  <c r="Q70" i="10" s="1"/>
  <c r="R70" i="10"/>
  <c r="P71" i="10" l="1"/>
  <c r="Q71" i="10" s="1"/>
  <c r="J72" i="10"/>
  <c r="K72" i="10"/>
  <c r="M72" i="10" s="1"/>
  <c r="N72" i="10" l="1"/>
  <c r="P72" i="10" s="1"/>
  <c r="R72" i="10" l="1"/>
  <c r="Q72" i="10"/>
  <c r="P74" i="10"/>
  <c r="E21" i="10" l="1"/>
  <c r="F21" i="10" s="1"/>
  <c r="M21" i="10" s="1"/>
  <c r="E20" i="10"/>
  <c r="F20" i="10" s="1"/>
  <c r="M20" i="10" s="1"/>
  <c r="U21" i="10" l="1"/>
  <c r="L21" i="10"/>
  <c r="E22" i="10"/>
  <c r="L20" i="10"/>
  <c r="U20" i="10"/>
  <c r="U22" i="10" l="1"/>
  <c r="E24" i="10"/>
  <c r="F22" i="10"/>
  <c r="L22" i="10"/>
  <c r="L22" i="14"/>
  <c r="L24" i="10" l="1"/>
  <c r="F24" i="10"/>
  <c r="M22" i="10"/>
  <c r="C20" i="24" l="1"/>
  <c r="C22" i="24" s="1"/>
  <c r="C26" i="24" s="1"/>
  <c r="M24" i="10"/>
</calcChain>
</file>

<file path=xl/sharedStrings.xml><?xml version="1.0" encoding="utf-8"?>
<sst xmlns="http://schemas.openxmlformats.org/spreadsheetml/2006/main" count="274" uniqueCount="91">
  <si>
    <t>Cumulative</t>
  </si>
  <si>
    <t>Year</t>
  </si>
  <si>
    <t>Present</t>
  </si>
  <si>
    <t>Annual</t>
  </si>
  <si>
    <t>Tax Depreciation Table (MACRS)</t>
  </si>
  <si>
    <t>Common Equity</t>
  </si>
  <si>
    <t>Rate</t>
  </si>
  <si>
    <t>Tax Rate</t>
  </si>
  <si>
    <t>COC</t>
  </si>
  <si>
    <t>Percent</t>
  </si>
  <si>
    <t>Adjusted</t>
  </si>
  <si>
    <t>Weighted</t>
  </si>
  <si>
    <t>Capital Structure:</t>
  </si>
  <si>
    <t>Requirement</t>
  </si>
  <si>
    <t>Factor</t>
  </si>
  <si>
    <t>Taxes</t>
  </si>
  <si>
    <t>Equity</t>
  </si>
  <si>
    <t>Interest</t>
  </si>
  <si>
    <t>Rate Base</t>
  </si>
  <si>
    <t>Income Tax</t>
  </si>
  <si>
    <t>Plant</t>
  </si>
  <si>
    <t>Depreciation</t>
  </si>
  <si>
    <t>Investment</t>
  </si>
  <si>
    <t>Charge</t>
  </si>
  <si>
    <t>Revenue</t>
  </si>
  <si>
    <t>Income</t>
  </si>
  <si>
    <t xml:space="preserve">Deferred </t>
  </si>
  <si>
    <t>Residual</t>
  </si>
  <si>
    <t>Tax</t>
  </si>
  <si>
    <t>Book</t>
  </si>
  <si>
    <t>Carrying</t>
  </si>
  <si>
    <t>Value</t>
  </si>
  <si>
    <t>Accumulated</t>
  </si>
  <si>
    <t xml:space="preserve">   Levelized Carrying Charge Rate</t>
  </si>
  <si>
    <t xml:space="preserve">   Levelized Revenue Requirement</t>
  </si>
  <si>
    <t xml:space="preserve">   Present Value Revenue Requirement</t>
  </si>
  <si>
    <t>Results:</t>
  </si>
  <si>
    <t xml:space="preserve">   Levelized Revenue Requirement Years</t>
  </si>
  <si>
    <t xml:space="preserve">   Property Tax Rate</t>
  </si>
  <si>
    <t xml:space="preserve">   Composite Tax Rate</t>
  </si>
  <si>
    <t xml:space="preserve">   Tax Life</t>
  </si>
  <si>
    <t xml:space="preserve">   Book Life</t>
  </si>
  <si>
    <t xml:space="preserve">   Investment</t>
  </si>
  <si>
    <t>Assumptions:</t>
  </si>
  <si>
    <t>Net</t>
  </si>
  <si>
    <t>Property</t>
  </si>
  <si>
    <t>Rev</t>
  </si>
  <si>
    <t>Net Present Value Revenue Requirement</t>
  </si>
  <si>
    <t>Weighted Cost of Capital and MACRS</t>
  </si>
  <si>
    <t>Louisville Gas &amp; Electric</t>
  </si>
  <si>
    <t>Kentucky Utilities</t>
  </si>
  <si>
    <t>LG&amp;E</t>
  </si>
  <si>
    <t>KU</t>
  </si>
  <si>
    <t>Louisville Gas and Electric and Kentucky Utilities</t>
  </si>
  <si>
    <t>Short Term Debt</t>
  </si>
  <si>
    <t>Long Term Debt</t>
  </si>
  <si>
    <t>Kentucky Utilities Company and Louisvillle Gas &amp; Electric Company</t>
  </si>
  <si>
    <t>Weighted Cost of Capital</t>
  </si>
  <si>
    <t>Kentucky Utilities Company</t>
  </si>
  <si>
    <t>Cost of</t>
  </si>
  <si>
    <t>Component of Capital</t>
  </si>
  <si>
    <t>Capital</t>
  </si>
  <si>
    <t>Long-Term Debt</t>
  </si>
  <si>
    <t>Louisville Gas &amp; Electric Company</t>
  </si>
  <si>
    <t>Total Company Average</t>
  </si>
  <si>
    <t>Income Tax Rates</t>
  </si>
  <si>
    <t>Weighted Total</t>
  </si>
  <si>
    <t>Short-Term Debt</t>
  </si>
  <si>
    <t xml:space="preserve">   O&amp;M Costs</t>
  </si>
  <si>
    <t xml:space="preserve">   Total Carrying Costs</t>
  </si>
  <si>
    <t>Transmission</t>
  </si>
  <si>
    <t>Distribution</t>
  </si>
  <si>
    <t>Carrying Charge Calculation</t>
  </si>
  <si>
    <t xml:space="preserve">   O&amp;M Cost</t>
  </si>
  <si>
    <t>2021 Business Plan</t>
  </si>
  <si>
    <t>($ in Thousands)</t>
  </si>
  <si>
    <t>Total</t>
  </si>
  <si>
    <t>10-Year Total</t>
  </si>
  <si>
    <t>Carrying Cost Percentage</t>
  </si>
  <si>
    <t>Annualized Avoided Costs (in $)</t>
  </si>
  <si>
    <t>Sales to Ultimate Consumers (kWh)</t>
  </si>
  <si>
    <t>Capacity-Related Distribution Investment</t>
  </si>
  <si>
    <t>Avoided Cost per kWh</t>
  </si>
  <si>
    <t>Page 1 of 7</t>
  </si>
  <si>
    <t>Supplemental Exhibit WSS-2</t>
  </si>
  <si>
    <t>Page 5 of 7</t>
  </si>
  <si>
    <t>Page 2 of 7</t>
  </si>
  <si>
    <t>Page 3 of 7</t>
  </si>
  <si>
    <t>Page 4 of 7</t>
  </si>
  <si>
    <t>Page 6 of 7</t>
  </si>
  <si>
    <t>Page 7 of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</si>
</sst>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0.000%"/>
    <numFmt numFmtId="168" formatCode="&quot;$&quot;#,##0\ ;\(&quot;$&quot;#,##0\)"/>
    <numFmt numFmtId="169" formatCode="_([$€-2]* #,##0.00_);_([$€-2]* \(#,##0.00\);_([$€-2]* &quot;-&quot;??_)"/>
    <numFmt numFmtId="170" formatCode="_(* #,##0.000000_);_(* \(#,##0.000000\);_(* &quot;-&quot;??_);_(@_)"/>
    <numFmt numFmtId="171" formatCode="0.0000%"/>
    <numFmt numFmtId="172" formatCode="_(&quot;$&quot;* #,##0.000_);_(&quot;$&quot;* \(#,##0.000\);_(&quot;$&quot;* &quot;-&quot;??_);_(@_)"/>
    <numFmt numFmtId="173" formatCode="&quot;$&quot;#,##0"/>
    <numFmt numFmtId="174" formatCode="&quot;$&quot;#,##0.00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6">
    <xf numFmtId="0" fontId="0" fillId="0" borderId="0"/>
    <xf numFmtId="0" fontId="8" fillId="3" borderId="0">
      <alignment horizontal="left"/>
    </xf>
    <xf numFmtId="0" fontId="9" fillId="3" borderId="0">
      <alignment horizontal="right"/>
    </xf>
    <xf numFmtId="0" fontId="10" fillId="4" borderId="0">
      <alignment horizontal="center"/>
    </xf>
    <xf numFmtId="0" fontId="9" fillId="3" borderId="0">
      <alignment horizontal="right"/>
    </xf>
    <xf numFmtId="0" fontId="11" fillId="4" borderId="0">
      <alignment horizontal="left"/>
    </xf>
    <xf numFmtId="43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5" fillId="5" borderId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6" fillId="0" borderId="0" applyProtection="0"/>
    <xf numFmtId="0" fontId="12" fillId="0" borderId="0" applyProtection="0"/>
    <xf numFmtId="0" fontId="7" fillId="0" borderId="0" applyProtection="0"/>
    <xf numFmtId="0" fontId="13" fillId="0" borderId="0" applyProtection="0"/>
    <xf numFmtId="0" fontId="5" fillId="0" borderId="0" applyProtection="0"/>
    <xf numFmtId="0" fontId="6" fillId="0" borderId="0" applyProtection="0"/>
    <xf numFmtId="0" fontId="14" fillId="0" borderId="0" applyProtection="0"/>
    <xf numFmtId="2" fontId="5" fillId="0" borderId="0" applyFont="0" applyFill="0" applyBorder="0" applyAlignment="0" applyProtection="0"/>
    <xf numFmtId="0" fontId="8" fillId="3" borderId="0">
      <alignment horizontal="left"/>
    </xf>
    <xf numFmtId="0" fontId="15" fillId="4" borderId="0">
      <alignment horizontal="left"/>
    </xf>
    <xf numFmtId="0" fontId="5" fillId="0" borderId="0"/>
    <xf numFmtId="4" fontId="16" fillId="7" borderId="0">
      <alignment horizontal="right"/>
    </xf>
    <xf numFmtId="0" fontId="17" fillId="7" borderId="0">
      <alignment horizontal="center" vertical="center"/>
    </xf>
    <xf numFmtId="0" fontId="15" fillId="7" borderId="1"/>
    <xf numFmtId="0" fontId="17" fillId="7" borderId="0" applyBorder="0">
      <alignment horizontal="centerContinuous"/>
    </xf>
    <xf numFmtId="0" fontId="18" fillId="7" borderId="0" applyBorder="0">
      <alignment horizontal="centerContinuous"/>
    </xf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6" borderId="0">
      <alignment horizontal="center"/>
    </xf>
    <xf numFmtId="49" fontId="19" fillId="4" borderId="0">
      <alignment horizontal="center"/>
    </xf>
    <xf numFmtId="0" fontId="9" fillId="3" borderId="0">
      <alignment horizontal="center"/>
    </xf>
    <xf numFmtId="0" fontId="9" fillId="3" borderId="0">
      <alignment horizontal="centerContinuous"/>
    </xf>
    <xf numFmtId="0" fontId="20" fillId="4" borderId="0">
      <alignment horizontal="left"/>
    </xf>
    <xf numFmtId="49" fontId="20" fillId="4" borderId="0">
      <alignment horizontal="center"/>
    </xf>
    <xf numFmtId="0" fontId="8" fillId="3" borderId="0">
      <alignment horizontal="left"/>
    </xf>
    <xf numFmtId="49" fontId="20" fillId="4" borderId="0">
      <alignment horizontal="left"/>
    </xf>
    <xf numFmtId="0" fontId="8" fillId="3" borderId="0">
      <alignment horizontal="centerContinuous"/>
    </xf>
    <xf numFmtId="0" fontId="8" fillId="3" borderId="0">
      <alignment horizontal="right"/>
    </xf>
    <xf numFmtId="49" fontId="15" fillId="4" borderId="0">
      <alignment horizontal="left"/>
    </xf>
    <xf numFmtId="0" fontId="9" fillId="3" borderId="0">
      <alignment horizontal="right"/>
    </xf>
    <xf numFmtId="0" fontId="20" fillId="2" borderId="0">
      <alignment horizontal="center"/>
    </xf>
    <xf numFmtId="0" fontId="21" fillId="2" borderId="0">
      <alignment horizont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4" borderId="0">
      <alignment horizontal="center"/>
    </xf>
    <xf numFmtId="0" fontId="2" fillId="0" borderId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43" fontId="0" fillId="0" borderId="0" xfId="0" applyNumberFormat="1"/>
    <xf numFmtId="0" fontId="4" fillId="0" borderId="0" xfId="0" applyFont="1"/>
    <xf numFmtId="10" fontId="0" fillId="0" borderId="0" xfId="0" applyNumberFormat="1"/>
    <xf numFmtId="0" fontId="0" fillId="0" borderId="0" xfId="0" applyAlignment="1">
      <alignment horizontal="right"/>
    </xf>
    <xf numFmtId="167" fontId="0" fillId="0" borderId="0" xfId="37" applyNumberFormat="1" applyFont="1"/>
    <xf numFmtId="10" fontId="0" fillId="0" borderId="0" xfId="37" applyNumberFormat="1" applyFont="1"/>
    <xf numFmtId="10" fontId="0" fillId="0" borderId="2" xfId="0" applyNumberFormat="1" applyBorder="1"/>
    <xf numFmtId="10" fontId="0" fillId="0" borderId="2" xfId="37" applyNumberFormat="1" applyFont="1" applyBorder="1"/>
    <xf numFmtId="166" fontId="0" fillId="0" borderId="0" xfId="9" applyNumberFormat="1" applyFont="1"/>
    <xf numFmtId="165" fontId="0" fillId="0" borderId="0" xfId="14" applyNumberFormat="1" applyFont="1"/>
    <xf numFmtId="0" fontId="6" fillId="0" borderId="2" xfId="0" applyFont="1" applyFill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/>
    <xf numFmtId="165" fontId="0" fillId="0" borderId="0" xfId="0" applyNumberFormat="1"/>
    <xf numFmtId="165" fontId="0" fillId="0" borderId="0" xfId="14" applyNumberFormat="1" applyFont="1" applyAlignment="1"/>
    <xf numFmtId="6" fontId="0" fillId="0" borderId="0" xfId="0" applyNumberFormat="1"/>
    <xf numFmtId="166" fontId="0" fillId="0" borderId="0" xfId="9" applyNumberFormat="1" applyFont="1" applyAlignment="1"/>
    <xf numFmtId="44" fontId="0" fillId="0" borderId="0" xfId="14" applyFont="1"/>
    <xf numFmtId="43" fontId="0" fillId="0" borderId="0" xfId="9" applyFont="1"/>
    <xf numFmtId="0" fontId="0" fillId="0" borderId="0" xfId="0" quotePrefix="1"/>
    <xf numFmtId="171" fontId="0" fillId="0" borderId="0" xfId="37" applyNumberFormat="1" applyFont="1"/>
    <xf numFmtId="0" fontId="2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4" fillId="0" borderId="0" xfId="0" applyNumberFormat="1" applyFont="1" applyBorder="1" applyAlignment="1">
      <alignment horizontal="right"/>
    </xf>
    <xf numFmtId="170" fontId="0" fillId="0" borderId="0" xfId="6" applyNumberFormat="1" applyFont="1"/>
    <xf numFmtId="165" fontId="0" fillId="0" borderId="0" xfId="13" applyNumberFormat="1" applyFont="1"/>
    <xf numFmtId="0" fontId="4" fillId="0" borderId="0" xfId="0" applyFont="1" applyAlignment="1">
      <alignment horizontal="left"/>
    </xf>
    <xf numFmtId="166" fontId="0" fillId="0" borderId="0" xfId="6" applyNumberFormat="1" applyFont="1"/>
    <xf numFmtId="172" fontId="0" fillId="0" borderId="0" xfId="14" applyNumberFormat="1" applyFont="1"/>
    <xf numFmtId="0" fontId="0" fillId="0" borderId="0" xfId="0" applyFill="1"/>
    <xf numFmtId="171" fontId="0" fillId="0" borderId="0" xfId="37" applyNumberFormat="1" applyFont="1" applyFill="1"/>
    <xf numFmtId="10" fontId="0" fillId="0" borderId="0" xfId="37" applyNumberFormat="1" applyFont="1" applyFill="1"/>
    <xf numFmtId="10" fontId="0" fillId="0" borderId="0" xfId="0" applyNumberFormat="1" applyFill="1"/>
    <xf numFmtId="10" fontId="0" fillId="0" borderId="2" xfId="37" applyNumberFormat="1" applyFont="1" applyFill="1" applyBorder="1"/>
    <xf numFmtId="10" fontId="0" fillId="0" borderId="0" xfId="36" applyNumberFormat="1" applyFont="1" applyFill="1"/>
    <xf numFmtId="0" fontId="3" fillId="0" borderId="0" xfId="0" applyFont="1"/>
    <xf numFmtId="0" fontId="2" fillId="0" borderId="0" xfId="61"/>
    <xf numFmtId="0" fontId="25" fillId="0" borderId="0" xfId="61" applyFont="1" applyAlignment="1">
      <alignment horizontal="center"/>
    </xf>
    <xf numFmtId="0" fontId="6" fillId="0" borderId="0" xfId="61" applyFont="1"/>
    <xf numFmtId="0" fontId="6" fillId="0" borderId="0" xfId="61" applyFont="1" applyAlignment="1">
      <alignment horizontal="right"/>
    </xf>
    <xf numFmtId="0" fontId="6" fillId="0" borderId="3" xfId="61" applyFont="1" applyBorder="1" applyAlignment="1">
      <alignment horizontal="left"/>
    </xf>
    <xf numFmtId="0" fontId="6" fillId="0" borderId="3" xfId="61" applyFont="1" applyBorder="1" applyAlignment="1">
      <alignment horizontal="right"/>
    </xf>
    <xf numFmtId="10" fontId="0" fillId="0" borderId="0" xfId="62" applyNumberFormat="1" applyFont="1" applyFill="1"/>
    <xf numFmtId="43" fontId="2" fillId="0" borderId="0" xfId="61" applyNumberFormat="1"/>
    <xf numFmtId="10" fontId="0" fillId="0" borderId="3" xfId="62" applyNumberFormat="1" applyFont="1" applyFill="1" applyBorder="1"/>
    <xf numFmtId="0" fontId="2" fillId="0" borderId="0" xfId="61" applyFill="1"/>
    <xf numFmtId="166" fontId="2" fillId="0" borderId="0" xfId="61" applyNumberFormat="1"/>
    <xf numFmtId="10" fontId="2" fillId="0" borderId="0" xfId="61" applyNumberFormat="1"/>
    <xf numFmtId="10" fontId="0" fillId="0" borderId="0" xfId="64" applyNumberFormat="1" applyFont="1"/>
    <xf numFmtId="0" fontId="2" fillId="0" borderId="0" xfId="61" applyNumberFormat="1"/>
    <xf numFmtId="10" fontId="0" fillId="0" borderId="0" xfId="64" applyNumberFormat="1" applyFont="1" applyFill="1"/>
    <xf numFmtId="10" fontId="0" fillId="0" borderId="3" xfId="64" applyNumberFormat="1" applyFont="1" applyFill="1" applyBorder="1"/>
    <xf numFmtId="2" fontId="2" fillId="0" borderId="0" xfId="61" applyNumberFormat="1"/>
    <xf numFmtId="10" fontId="0" fillId="0" borderId="0" xfId="36" applyNumberFormat="1" applyFont="1"/>
    <xf numFmtId="166" fontId="0" fillId="0" borderId="0" xfId="63" applyNumberFormat="1" applyFont="1" applyFill="1"/>
    <xf numFmtId="44" fontId="0" fillId="0" borderId="0" xfId="0" applyNumberFormat="1"/>
    <xf numFmtId="0" fontId="0" fillId="0" borderId="0" xfId="0" quotePrefix="1" applyFont="1"/>
    <xf numFmtId="0" fontId="0" fillId="0" borderId="0" xfId="0" applyFont="1"/>
    <xf numFmtId="0" fontId="3" fillId="0" borderId="0" xfId="0" applyFont="1" applyAlignment="1">
      <alignment horizontal="right"/>
    </xf>
    <xf numFmtId="0" fontId="26" fillId="0" borderId="0" xfId="65" applyFont="1"/>
    <xf numFmtId="0" fontId="1" fillId="0" borderId="0" xfId="65"/>
    <xf numFmtId="0" fontId="26" fillId="0" borderId="3" xfId="65" applyFont="1" applyBorder="1" applyAlignment="1">
      <alignment horizontal="left"/>
    </xf>
    <xf numFmtId="0" fontId="26" fillId="0" borderId="3" xfId="65" applyFont="1" applyBorder="1" applyAlignment="1">
      <alignment horizontal="right"/>
    </xf>
    <xf numFmtId="0" fontId="1" fillId="0" borderId="0" xfId="65" applyAlignment="1">
      <alignment horizontal="left"/>
    </xf>
    <xf numFmtId="3" fontId="1" fillId="0" borderId="0" xfId="65" applyNumberFormat="1"/>
    <xf numFmtId="0" fontId="26" fillId="0" borderId="7" xfId="65" applyFont="1" applyBorder="1" applyAlignment="1">
      <alignment horizontal="left"/>
    </xf>
    <xf numFmtId="166" fontId="1" fillId="0" borderId="0" xfId="65" applyNumberFormat="1"/>
    <xf numFmtId="3" fontId="26" fillId="0" borderId="7" xfId="65" applyNumberFormat="1" applyFont="1" applyBorder="1"/>
    <xf numFmtId="10" fontId="1" fillId="0" borderId="0" xfId="65" applyNumberFormat="1"/>
    <xf numFmtId="173" fontId="1" fillId="0" borderId="0" xfId="13" applyNumberFormat="1" applyFont="1"/>
    <xf numFmtId="166" fontId="27" fillId="0" borderId="0" xfId="6" applyNumberFormat="1" applyFont="1" applyFill="1"/>
    <xf numFmtId="166" fontId="1" fillId="0" borderId="0" xfId="6" applyNumberFormat="1" applyFont="1"/>
    <xf numFmtId="174" fontId="1" fillId="0" borderId="0" xfId="13" applyNumberFormat="1" applyFont="1"/>
    <xf numFmtId="0" fontId="26" fillId="0" borderId="0" xfId="65" applyFont="1" applyAlignment="1">
      <alignment horizontal="right"/>
    </xf>
    <xf numFmtId="10" fontId="0" fillId="0" borderId="2" xfId="36" applyNumberFormat="1" applyFont="1" applyBorder="1"/>
    <xf numFmtId="10" fontId="1" fillId="0" borderId="2" xfId="36" applyNumberFormat="1" applyFont="1" applyBorder="1"/>
    <xf numFmtId="0" fontId="6" fillId="0" borderId="2" xfId="0" applyFont="1" applyBorder="1" applyAlignment="1">
      <alignment horizontal="center"/>
    </xf>
    <xf numFmtId="0" fontId="24" fillId="0" borderId="0" xfId="61" applyFont="1" applyAlignment="1">
      <alignment horizontal="center"/>
    </xf>
    <xf numFmtId="0" fontId="25" fillId="0" borderId="0" xfId="61" applyFont="1" applyAlignment="1">
      <alignment horizontal="center"/>
    </xf>
    <xf numFmtId="0" fontId="6" fillId="0" borderId="4" xfId="61" applyFont="1" applyBorder="1" applyAlignment="1">
      <alignment horizontal="center"/>
    </xf>
    <xf numFmtId="0" fontId="6" fillId="0" borderId="5" xfId="61" applyFont="1" applyBorder="1" applyAlignment="1">
      <alignment horizontal="center"/>
    </xf>
    <xf numFmtId="0" fontId="6" fillId="0" borderId="6" xfId="61" applyFont="1" applyBorder="1" applyAlignment="1">
      <alignment horizontal="center"/>
    </xf>
  </cellXfs>
  <cellStyles count="66">
    <cellStyle name="ColumnAttributeAbovePrompt" xfId="1" xr:uid="{00000000-0005-0000-0000-000000000000}"/>
    <cellStyle name="ColumnAttributePrompt" xfId="2" xr:uid="{00000000-0005-0000-0000-000001000000}"/>
    <cellStyle name="ColumnAttributeValue" xfId="3" xr:uid="{00000000-0005-0000-0000-000002000000}"/>
    <cellStyle name="ColumnHeadingPrompt" xfId="4" xr:uid="{00000000-0005-0000-0000-000003000000}"/>
    <cellStyle name="ColumnHeadingValue" xfId="5" xr:uid="{00000000-0005-0000-0000-000004000000}"/>
    <cellStyle name="Comma" xfId="6" builtinId="3"/>
    <cellStyle name="Comma [0] 2 2" xfId="7" xr:uid="{00000000-0005-0000-0000-000006000000}"/>
    <cellStyle name="Comma [0] 2 3" xfId="8" xr:uid="{00000000-0005-0000-0000-000007000000}"/>
    <cellStyle name="Comma 2" xfId="9" xr:uid="{00000000-0005-0000-0000-000008000000}"/>
    <cellStyle name="Comma 2 2" xfId="10" xr:uid="{00000000-0005-0000-0000-000009000000}"/>
    <cellStyle name="Comma 2 3" xfId="11" xr:uid="{00000000-0005-0000-0000-00000A000000}"/>
    <cellStyle name="Comma 3" xfId="63" xr:uid="{ECF4B134-D6BC-4536-BF94-53D048EB701E}"/>
    <cellStyle name="Comma0" xfId="12" xr:uid="{00000000-0005-0000-0000-00000B000000}"/>
    <cellStyle name="Currency" xfId="13" builtinId="4"/>
    <cellStyle name="Currency 2" xfId="14" xr:uid="{00000000-0005-0000-0000-00000D000000}"/>
    <cellStyle name="Currency 2 2" xfId="15" xr:uid="{00000000-0005-0000-0000-00000E000000}"/>
    <cellStyle name="Currency 2 3" xfId="16" xr:uid="{00000000-0005-0000-0000-00000F000000}"/>
    <cellStyle name="Currency0" xfId="17" xr:uid="{00000000-0005-0000-0000-000010000000}"/>
    <cellStyle name="Date" xfId="18" xr:uid="{00000000-0005-0000-0000-000011000000}"/>
    <cellStyle name="Euro" xfId="19" xr:uid="{00000000-0005-0000-0000-000012000000}"/>
    <cellStyle name="F2" xfId="20" xr:uid="{00000000-0005-0000-0000-000013000000}"/>
    <cellStyle name="F3" xfId="21" xr:uid="{00000000-0005-0000-0000-000014000000}"/>
    <cellStyle name="F4" xfId="22" xr:uid="{00000000-0005-0000-0000-000015000000}"/>
    <cellStyle name="F5" xfId="23" xr:uid="{00000000-0005-0000-0000-000016000000}"/>
    <cellStyle name="F6" xfId="24" xr:uid="{00000000-0005-0000-0000-000017000000}"/>
    <cellStyle name="F7" xfId="25" xr:uid="{00000000-0005-0000-0000-000018000000}"/>
    <cellStyle name="F8" xfId="26" xr:uid="{00000000-0005-0000-0000-000019000000}"/>
    <cellStyle name="Fixed" xfId="27" xr:uid="{00000000-0005-0000-0000-00001A000000}"/>
    <cellStyle name="LineItemPrompt" xfId="28" xr:uid="{00000000-0005-0000-0000-00001B000000}"/>
    <cellStyle name="LineItemValue" xfId="29" xr:uid="{00000000-0005-0000-0000-00001C000000}"/>
    <cellStyle name="Normal" xfId="0" builtinId="0"/>
    <cellStyle name="Normal 2" xfId="30" xr:uid="{00000000-0005-0000-0000-00001E000000}"/>
    <cellStyle name="Normal 3" xfId="61" xr:uid="{2BE8F0CF-8F40-4D85-8EAE-306374B77DB6}"/>
    <cellStyle name="Normal 4" xfId="65" xr:uid="{BEE49133-E463-41CF-9118-2B32FFC0429F}"/>
    <cellStyle name="Output Amounts" xfId="31" xr:uid="{00000000-0005-0000-0000-00001F000000}"/>
    <cellStyle name="Output Column Headings" xfId="32" xr:uid="{00000000-0005-0000-0000-000020000000}"/>
    <cellStyle name="Output Line Items" xfId="33" xr:uid="{00000000-0005-0000-0000-000021000000}"/>
    <cellStyle name="Output Report Heading" xfId="34" xr:uid="{00000000-0005-0000-0000-000022000000}"/>
    <cellStyle name="Output Report Title" xfId="35" xr:uid="{00000000-0005-0000-0000-000023000000}"/>
    <cellStyle name="Percent" xfId="36" builtinId="5"/>
    <cellStyle name="Percent 2" xfId="37" xr:uid="{00000000-0005-0000-0000-000025000000}"/>
    <cellStyle name="Percent 2 2" xfId="38" xr:uid="{00000000-0005-0000-0000-000026000000}"/>
    <cellStyle name="Percent 2 3" xfId="39" xr:uid="{00000000-0005-0000-0000-000027000000}"/>
    <cellStyle name="Percent 2 4" xfId="62" xr:uid="{BF1D1DFE-3594-4944-B9ED-1A615FA091E4}"/>
    <cellStyle name="Percent 3" xfId="64" xr:uid="{29E4832F-E91B-4851-8A64-BCC680ACA3C3}"/>
    <cellStyle name="ReportTitlePrompt" xfId="40" xr:uid="{00000000-0005-0000-0000-000028000000}"/>
    <cellStyle name="ReportTitleValue" xfId="41" xr:uid="{00000000-0005-0000-0000-000029000000}"/>
    <cellStyle name="RowAcctAbovePrompt" xfId="42" xr:uid="{00000000-0005-0000-0000-00002A000000}"/>
    <cellStyle name="RowAcctSOBAbovePrompt" xfId="43" xr:uid="{00000000-0005-0000-0000-00002B000000}"/>
    <cellStyle name="RowAcctSOBValue" xfId="44" xr:uid="{00000000-0005-0000-0000-00002C000000}"/>
    <cellStyle name="RowAcctValue" xfId="45" xr:uid="{00000000-0005-0000-0000-00002D000000}"/>
    <cellStyle name="RowAttrAbovePrompt" xfId="46" xr:uid="{00000000-0005-0000-0000-00002E000000}"/>
    <cellStyle name="RowAttrValue" xfId="47" xr:uid="{00000000-0005-0000-0000-00002F000000}"/>
    <cellStyle name="RowColSetAbovePrompt" xfId="48" xr:uid="{00000000-0005-0000-0000-000030000000}"/>
    <cellStyle name="RowColSetLeftPrompt" xfId="49" xr:uid="{00000000-0005-0000-0000-000031000000}"/>
    <cellStyle name="RowColSetValue" xfId="50" xr:uid="{00000000-0005-0000-0000-000032000000}"/>
    <cellStyle name="RowLeftPrompt" xfId="51" xr:uid="{00000000-0005-0000-0000-000033000000}"/>
    <cellStyle name="SampleUsingFormatMask" xfId="52" xr:uid="{00000000-0005-0000-0000-000034000000}"/>
    <cellStyle name="SampleWithNoFormatMask" xfId="53" xr:uid="{00000000-0005-0000-0000-000035000000}"/>
    <cellStyle name="STYL5 - Style5" xfId="54" xr:uid="{00000000-0005-0000-0000-000036000000}"/>
    <cellStyle name="STYL6 - Style6" xfId="55" xr:uid="{00000000-0005-0000-0000-000037000000}"/>
    <cellStyle name="STYLE1 - Style1" xfId="56" xr:uid="{00000000-0005-0000-0000-000038000000}"/>
    <cellStyle name="STYLE2 - Style2" xfId="57" xr:uid="{00000000-0005-0000-0000-000039000000}"/>
    <cellStyle name="STYLE3 - Style3" xfId="58" xr:uid="{00000000-0005-0000-0000-00003A000000}"/>
    <cellStyle name="STYLE4 - Style4" xfId="59" xr:uid="{00000000-0005-0000-0000-00003B000000}"/>
    <cellStyle name="UploadThisRowValue" xfId="60" xr:uid="{00000000-0005-0000-0000-00003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7DB40-278A-4854-B161-E8AE6EACBA14}">
  <sheetPr>
    <pageSetUpPr fitToPage="1"/>
  </sheetPr>
  <dimension ref="A1:E26"/>
  <sheetViews>
    <sheetView tabSelected="1" zoomScaleNormal="100" workbookViewId="0"/>
  </sheetViews>
  <sheetFormatPr defaultRowHeight="15" x14ac:dyDescent="0.25"/>
  <cols>
    <col min="1" max="1" width="33" style="62" customWidth="1"/>
    <col min="2" max="4" width="19.5703125" style="62" customWidth="1"/>
    <col min="5" max="16384" width="9.140625" style="62"/>
  </cols>
  <sheetData>
    <row r="1" spans="1:5" x14ac:dyDescent="0.25">
      <c r="E1" s="75" t="s">
        <v>84</v>
      </c>
    </row>
    <row r="2" spans="1:5" x14ac:dyDescent="0.25">
      <c r="E2" s="75" t="s">
        <v>83</v>
      </c>
    </row>
    <row r="3" spans="1:5" x14ac:dyDescent="0.25">
      <c r="A3" s="61" t="s">
        <v>81</v>
      </c>
    </row>
    <row r="4" spans="1:5" x14ac:dyDescent="0.25">
      <c r="A4" s="61" t="s">
        <v>74</v>
      </c>
    </row>
    <row r="5" spans="1:5" x14ac:dyDescent="0.25">
      <c r="A5" s="61" t="s">
        <v>75</v>
      </c>
    </row>
    <row r="7" spans="1:5" ht="15.75" thickBot="1" x14ac:dyDescent="0.3">
      <c r="A7" s="63" t="s">
        <v>1</v>
      </c>
      <c r="B7" s="64" t="s">
        <v>52</v>
      </c>
      <c r="C7" s="64" t="s">
        <v>51</v>
      </c>
      <c r="D7" s="64" t="s">
        <v>76</v>
      </c>
    </row>
    <row r="8" spans="1:5" x14ac:dyDescent="0.25">
      <c r="A8" s="65">
        <v>2022</v>
      </c>
      <c r="B8" s="66">
        <v>7261</v>
      </c>
      <c r="D8" s="68">
        <f t="shared" ref="D8:D16" si="0">B8+C8</f>
        <v>7261</v>
      </c>
    </row>
    <row r="9" spans="1:5" x14ac:dyDescent="0.25">
      <c r="A9" s="65">
        <v>2023</v>
      </c>
      <c r="B9" s="66">
        <v>9705</v>
      </c>
      <c r="C9" s="62">
        <v>3200</v>
      </c>
      <c r="D9" s="68">
        <f t="shared" si="0"/>
        <v>12905</v>
      </c>
    </row>
    <row r="10" spans="1:5" x14ac:dyDescent="0.25">
      <c r="A10" s="65">
        <v>2024</v>
      </c>
      <c r="B10" s="66">
        <v>8357</v>
      </c>
      <c r="C10" s="62">
        <v>2700</v>
      </c>
      <c r="D10" s="68">
        <f t="shared" si="0"/>
        <v>11057</v>
      </c>
    </row>
    <row r="11" spans="1:5" x14ac:dyDescent="0.25">
      <c r="A11" s="65">
        <v>2025</v>
      </c>
      <c r="B11" s="66">
        <v>2024</v>
      </c>
      <c r="D11" s="68">
        <f t="shared" si="0"/>
        <v>2024</v>
      </c>
    </row>
    <row r="12" spans="1:5" x14ac:dyDescent="0.25">
      <c r="A12" s="65">
        <v>2026</v>
      </c>
      <c r="B12" s="66">
        <v>6545</v>
      </c>
      <c r="C12" s="62">
        <v>1215</v>
      </c>
      <c r="D12" s="68">
        <f t="shared" si="0"/>
        <v>7760</v>
      </c>
    </row>
    <row r="13" spans="1:5" x14ac:dyDescent="0.25">
      <c r="A13" s="65">
        <v>2027</v>
      </c>
      <c r="B13" s="66">
        <v>6741</v>
      </c>
      <c r="C13" s="62">
        <v>1252</v>
      </c>
      <c r="D13" s="68">
        <f t="shared" si="0"/>
        <v>7993</v>
      </c>
    </row>
    <row r="14" spans="1:5" x14ac:dyDescent="0.25">
      <c r="A14" s="65">
        <v>2028</v>
      </c>
      <c r="B14" s="66">
        <v>6943</v>
      </c>
      <c r="C14" s="62">
        <v>1289</v>
      </c>
      <c r="D14" s="68">
        <f t="shared" si="0"/>
        <v>8232</v>
      </c>
    </row>
    <row r="15" spans="1:5" x14ac:dyDescent="0.25">
      <c r="A15" s="65">
        <v>2029</v>
      </c>
      <c r="B15" s="66">
        <v>7152</v>
      </c>
      <c r="C15" s="62">
        <v>1328</v>
      </c>
      <c r="D15" s="68">
        <f t="shared" si="0"/>
        <v>8480</v>
      </c>
    </row>
    <row r="16" spans="1:5" x14ac:dyDescent="0.25">
      <c r="A16" s="65">
        <v>2030</v>
      </c>
      <c r="B16" s="66">
        <v>7366</v>
      </c>
      <c r="C16" s="62">
        <v>1368</v>
      </c>
      <c r="D16" s="68">
        <f t="shared" si="0"/>
        <v>8734</v>
      </c>
    </row>
    <row r="17" spans="1:4" x14ac:dyDescent="0.25">
      <c r="A17" s="65">
        <v>2031</v>
      </c>
      <c r="B17" s="66">
        <v>7587</v>
      </c>
      <c r="C17" s="62">
        <v>1409</v>
      </c>
      <c r="D17" s="68">
        <f>B17+C17</f>
        <v>8996</v>
      </c>
    </row>
    <row r="18" spans="1:4" ht="15.75" thickBot="1" x14ac:dyDescent="0.3">
      <c r="A18" s="67" t="s">
        <v>77</v>
      </c>
      <c r="B18" s="69">
        <f>SUM(B8:B17)</f>
        <v>69681</v>
      </c>
      <c r="C18" s="69">
        <f t="shared" ref="C18:D18" si="1">SUM(C8:C17)</f>
        <v>13761</v>
      </c>
      <c r="D18" s="69">
        <f t="shared" si="1"/>
        <v>83442</v>
      </c>
    </row>
    <row r="19" spans="1:4" x14ac:dyDescent="0.25">
      <c r="A19" s="65"/>
    </row>
    <row r="20" spans="1:4" x14ac:dyDescent="0.25">
      <c r="A20" s="65" t="s">
        <v>78</v>
      </c>
      <c r="B20" s="70">
        <f>'KU  PVRR'!F22</f>
        <v>0.11591653777744498</v>
      </c>
      <c r="C20" s="70">
        <f>'LGE PVRR'!F24</f>
        <v>0.10209505651532826</v>
      </c>
    </row>
    <row r="21" spans="1:4" x14ac:dyDescent="0.25">
      <c r="A21" s="65"/>
    </row>
    <row r="22" spans="1:4" x14ac:dyDescent="0.25">
      <c r="A22" s="65" t="s">
        <v>79</v>
      </c>
      <c r="B22" s="71">
        <f>B18*1000*B20</f>
        <v>8077180.2688701442</v>
      </c>
      <c r="C22" s="71">
        <f>C18*1000*C20</f>
        <v>1404930.0727074321</v>
      </c>
    </row>
    <row r="23" spans="1:4" x14ac:dyDescent="0.25">
      <c r="A23" s="65"/>
    </row>
    <row r="24" spans="1:4" x14ac:dyDescent="0.25">
      <c r="A24" s="65" t="s">
        <v>80</v>
      </c>
      <c r="B24" s="72">
        <v>17402124382.672962</v>
      </c>
      <c r="C24" s="73">
        <v>11352592559.893715</v>
      </c>
    </row>
    <row r="26" spans="1:4" x14ac:dyDescent="0.25">
      <c r="A26" s="62" t="s">
        <v>82</v>
      </c>
      <c r="B26" s="74">
        <f>B22/B24</f>
        <v>4.6414909417108138E-4</v>
      </c>
      <c r="C26" s="74">
        <f>C22/C24</f>
        <v>1.2375411742254804E-4</v>
      </c>
    </row>
  </sheetData>
  <pageMargins left="0.75" right="0.75" top="0.66" bottom="0.89" header="0.5" footer="0.39"/>
  <pageSetup scale="90" orientation="portrait" r:id="rId1"/>
  <headerFooter scaleWithDoc="0" alignWithMargins="0">
    <evenFooter xml:space="preserve">&amp;R&amp;12
</evenFooter>
    <firstFooter>&amp;R&amp;12Attachment 1
Page &amp;P of 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U87"/>
  <sheetViews>
    <sheetView zoomScaleNormal="100" workbookViewId="0"/>
  </sheetViews>
  <sheetFormatPr defaultRowHeight="12.75" x14ac:dyDescent="0.2"/>
  <cols>
    <col min="1" max="1" width="9.28515625" bestFit="1" customWidth="1"/>
    <col min="2" max="2" width="14.140625" customWidth="1"/>
    <col min="3" max="3" width="13.5703125" customWidth="1"/>
    <col min="4" max="4" width="14.42578125" bestFit="1" customWidth="1"/>
    <col min="5" max="5" width="16.28515625" customWidth="1"/>
    <col min="6" max="6" width="14.42578125" bestFit="1" customWidth="1"/>
    <col min="7" max="7" width="12.85546875" customWidth="1"/>
    <col min="8" max="8" width="14" customWidth="1"/>
    <col min="9" max="9" width="13.140625" customWidth="1"/>
    <col min="10" max="10" width="12.85546875" customWidth="1"/>
    <col min="11" max="11" width="12.140625" customWidth="1"/>
    <col min="12" max="12" width="13.85546875" bestFit="1" customWidth="1"/>
    <col min="13" max="13" width="14.140625" bestFit="1" customWidth="1"/>
    <col min="14" max="14" width="14.28515625" customWidth="1"/>
    <col min="15" max="15" width="12" customWidth="1"/>
    <col min="16" max="16" width="16.28515625" bestFit="1" customWidth="1"/>
    <col min="17" max="17" width="15" customWidth="1"/>
    <col min="18" max="18" width="9.28515625" bestFit="1" customWidth="1"/>
    <col min="21" max="21" width="10.42578125" bestFit="1" customWidth="1"/>
  </cols>
  <sheetData>
    <row r="1" spans="2:21" ht="15" x14ac:dyDescent="0.25">
      <c r="H1" s="75" t="s">
        <v>84</v>
      </c>
      <c r="P1" s="75" t="s">
        <v>84</v>
      </c>
    </row>
    <row r="2" spans="2:21" ht="15" x14ac:dyDescent="0.25">
      <c r="H2" s="75" t="s">
        <v>86</v>
      </c>
      <c r="P2" s="75" t="s">
        <v>87</v>
      </c>
    </row>
    <row r="3" spans="2:21" ht="15" x14ac:dyDescent="0.2">
      <c r="B3" s="14" t="s">
        <v>50</v>
      </c>
      <c r="H3" s="23"/>
      <c r="I3" s="14" t="str">
        <f>B3</f>
        <v>Kentucky Utilities</v>
      </c>
      <c r="P3" s="23"/>
      <c r="Q3" s="14" t="str">
        <f>B3</f>
        <v>Kentucky Utilities</v>
      </c>
    </row>
    <row r="4" spans="2:21" x14ac:dyDescent="0.2">
      <c r="B4" s="37" t="s">
        <v>72</v>
      </c>
      <c r="H4" s="4"/>
      <c r="I4" s="2" t="str">
        <f>B4</f>
        <v>Carrying Charge Calculation</v>
      </c>
      <c r="P4" s="4"/>
      <c r="Q4" s="2" t="str">
        <f>B4</f>
        <v>Carrying Charge Calculation</v>
      </c>
    </row>
    <row r="5" spans="2:21" x14ac:dyDescent="0.2">
      <c r="B5" s="2"/>
      <c r="H5" s="24"/>
      <c r="I5" s="2"/>
      <c r="P5" s="24"/>
      <c r="Q5" s="2">
        <f>B5</f>
        <v>0</v>
      </c>
    </row>
    <row r="6" spans="2:21" x14ac:dyDescent="0.2">
      <c r="B6" s="14"/>
      <c r="H6" s="24"/>
      <c r="I6" s="14"/>
      <c r="P6" s="24"/>
    </row>
    <row r="9" spans="2:21" x14ac:dyDescent="0.2">
      <c r="B9" s="14" t="s">
        <v>43</v>
      </c>
      <c r="E9" s="60"/>
      <c r="F9" s="60"/>
      <c r="I9" s="14" t="s">
        <v>43</v>
      </c>
      <c r="Q9" s="14" t="s">
        <v>43</v>
      </c>
    </row>
    <row r="10" spans="2:21" x14ac:dyDescent="0.2">
      <c r="B10" s="21" t="s">
        <v>42</v>
      </c>
      <c r="E10" s="30">
        <v>1000</v>
      </c>
      <c r="I10" s="21" t="s">
        <v>42</v>
      </c>
      <c r="L10" s="10">
        <f t="shared" ref="L10:L15" si="0">E10</f>
        <v>1000</v>
      </c>
      <c r="N10" s="10"/>
      <c r="Q10" s="21" t="s">
        <v>42</v>
      </c>
      <c r="U10" s="10">
        <f t="shared" ref="U10:U15" si="1">E10</f>
        <v>1000</v>
      </c>
    </row>
    <row r="11" spans="2:21" x14ac:dyDescent="0.2">
      <c r="B11" s="21" t="s">
        <v>41</v>
      </c>
      <c r="E11">
        <v>40</v>
      </c>
      <c r="I11" s="21" t="s">
        <v>41</v>
      </c>
      <c r="L11">
        <f t="shared" si="0"/>
        <v>40</v>
      </c>
      <c r="Q11" s="21" t="s">
        <v>41</v>
      </c>
      <c r="U11">
        <f t="shared" si="1"/>
        <v>40</v>
      </c>
    </row>
    <row r="12" spans="2:21" x14ac:dyDescent="0.2">
      <c r="B12" s="21" t="s">
        <v>40</v>
      </c>
      <c r="E12">
        <v>20</v>
      </c>
      <c r="I12" s="21" t="s">
        <v>40</v>
      </c>
      <c r="L12">
        <f t="shared" si="0"/>
        <v>20</v>
      </c>
      <c r="Q12" s="21" t="s">
        <v>40</v>
      </c>
      <c r="U12">
        <f t="shared" si="1"/>
        <v>20</v>
      </c>
    </row>
    <row r="13" spans="2:21" x14ac:dyDescent="0.2">
      <c r="B13" s="21" t="s">
        <v>39</v>
      </c>
      <c r="E13" s="6">
        <f>'KU WACOC-Tax Table'!E10</f>
        <v>0.24826997000000001</v>
      </c>
      <c r="I13" s="21" t="s">
        <v>39</v>
      </c>
      <c r="N13" s="22"/>
      <c r="Q13" s="21" t="s">
        <v>39</v>
      </c>
      <c r="U13" s="22">
        <f t="shared" si="1"/>
        <v>0.24826997000000001</v>
      </c>
    </row>
    <row r="14" spans="2:21" x14ac:dyDescent="0.2">
      <c r="B14" s="21" t="s">
        <v>38</v>
      </c>
      <c r="E14" s="33">
        <f>33070752/10362008163</f>
        <v>3.1915388870360998E-3</v>
      </c>
      <c r="I14" s="21" t="s">
        <v>38</v>
      </c>
      <c r="N14" s="6"/>
      <c r="Q14" s="21" t="s">
        <v>38</v>
      </c>
      <c r="U14" s="6">
        <f t="shared" si="1"/>
        <v>3.1915388870360998E-3</v>
      </c>
    </row>
    <row r="15" spans="2:21" x14ac:dyDescent="0.2">
      <c r="B15" s="21" t="s">
        <v>37</v>
      </c>
      <c r="E15">
        <f>E11</f>
        <v>40</v>
      </c>
      <c r="I15" s="21" t="s">
        <v>37</v>
      </c>
      <c r="L15">
        <f t="shared" si="0"/>
        <v>40</v>
      </c>
      <c r="Q15" s="21" t="s">
        <v>37</v>
      </c>
      <c r="U15">
        <f t="shared" si="1"/>
        <v>40</v>
      </c>
    </row>
    <row r="17" spans="1:21" x14ac:dyDescent="0.2">
      <c r="B17" s="14" t="s">
        <v>36</v>
      </c>
      <c r="E17" s="13" t="s">
        <v>70</v>
      </c>
      <c r="F17" s="13" t="s">
        <v>71</v>
      </c>
      <c r="I17" s="14" t="s">
        <v>36</v>
      </c>
      <c r="L17" s="13" t="s">
        <v>70</v>
      </c>
      <c r="M17" s="13" t="s">
        <v>71</v>
      </c>
      <c r="Q17" s="14" t="s">
        <v>36</v>
      </c>
    </row>
    <row r="18" spans="1:21" x14ac:dyDescent="0.2">
      <c r="B18" s="21" t="s">
        <v>35</v>
      </c>
      <c r="E18" s="15">
        <f>P72</f>
        <v>1194.1567934047616</v>
      </c>
      <c r="F18" s="15">
        <f>E18</f>
        <v>1194.1567934047616</v>
      </c>
      <c r="I18" s="21" t="s">
        <v>35</v>
      </c>
      <c r="L18" s="15">
        <f>E18</f>
        <v>1194.1567934047616</v>
      </c>
      <c r="M18" s="57">
        <f>F18</f>
        <v>1194.1567934047616</v>
      </c>
      <c r="N18" s="15"/>
      <c r="Q18" s="21" t="s">
        <v>35</v>
      </c>
      <c r="U18" s="15">
        <f>E18</f>
        <v>1194.1567934047616</v>
      </c>
    </row>
    <row r="19" spans="1:21" x14ac:dyDescent="0.2">
      <c r="B19" s="21" t="s">
        <v>34</v>
      </c>
      <c r="E19" s="15">
        <f>PMT('Combined WACOC-Tax Table'!D13,E15,P72)*-1</f>
        <v>88.33511274715049</v>
      </c>
      <c r="F19" s="15">
        <f>E19</f>
        <v>88.33511274715049</v>
      </c>
      <c r="I19" s="21" t="s">
        <v>34</v>
      </c>
      <c r="L19" s="15">
        <f>E19</f>
        <v>88.33511274715049</v>
      </c>
      <c r="M19" s="57">
        <f>F19</f>
        <v>88.33511274715049</v>
      </c>
      <c r="N19" s="17"/>
      <c r="Q19" s="21" t="s">
        <v>34</v>
      </c>
      <c r="U19" s="15">
        <f>E19</f>
        <v>88.33511274715049</v>
      </c>
    </row>
    <row r="20" spans="1:21" x14ac:dyDescent="0.2">
      <c r="B20" s="21" t="s">
        <v>33</v>
      </c>
      <c r="E20" s="6">
        <f>E19/E10</f>
        <v>8.8335112747150488E-2</v>
      </c>
      <c r="F20" s="3">
        <f>E20</f>
        <v>8.8335112747150488E-2</v>
      </c>
      <c r="I20" s="21" t="s">
        <v>33</v>
      </c>
      <c r="L20" s="6">
        <f>L19/L10</f>
        <v>8.8335112747150488E-2</v>
      </c>
      <c r="M20" s="55">
        <f>F20</f>
        <v>8.8335112747150488E-2</v>
      </c>
      <c r="N20" s="6"/>
      <c r="Q20" s="21" t="s">
        <v>33</v>
      </c>
      <c r="U20" s="6">
        <f>E20</f>
        <v>8.8335112747150488E-2</v>
      </c>
    </row>
    <row r="21" spans="1:21" x14ac:dyDescent="0.2">
      <c r="B21" s="58" t="s">
        <v>73</v>
      </c>
      <c r="E21" s="55">
        <f>48717334/1266759651</f>
        <v>3.8458229989834114E-2</v>
      </c>
      <c r="F21" s="55">
        <f>60130493/2180108277</f>
        <v>2.7581425030294492E-2</v>
      </c>
      <c r="I21" s="58" t="s">
        <v>68</v>
      </c>
      <c r="L21" s="55">
        <f t="shared" ref="L21:M22" si="2">E21</f>
        <v>3.8458229989834114E-2</v>
      </c>
      <c r="M21" s="55">
        <f t="shared" si="2"/>
        <v>2.7581425030294492E-2</v>
      </c>
      <c r="N21" s="20"/>
    </row>
    <row r="22" spans="1:21" x14ac:dyDescent="0.2">
      <c r="B22" s="59" t="s">
        <v>69</v>
      </c>
      <c r="C22" s="20"/>
      <c r="E22" s="3">
        <f>E20+E21</f>
        <v>0.12679334273698462</v>
      </c>
      <c r="F22" s="3">
        <f>F20+F21</f>
        <v>0.11591653777744498</v>
      </c>
      <c r="I22" s="59" t="s">
        <v>69</v>
      </c>
      <c r="L22" s="55">
        <f t="shared" si="2"/>
        <v>0.12679334273698462</v>
      </c>
      <c r="M22" s="55">
        <f t="shared" si="2"/>
        <v>0.11591653777744498</v>
      </c>
    </row>
    <row r="23" spans="1:21" x14ac:dyDescent="0.2">
      <c r="C23" s="20"/>
    </row>
    <row r="24" spans="1:21" x14ac:dyDescent="0.2">
      <c r="A24" s="4"/>
      <c r="B24" s="4"/>
      <c r="C24" s="4"/>
      <c r="D24" s="4"/>
      <c r="E24" s="55"/>
      <c r="F24" s="55"/>
      <c r="G24" s="4"/>
      <c r="H24" s="4"/>
      <c r="I24" s="4"/>
      <c r="J24" s="4"/>
      <c r="K24" s="4"/>
      <c r="L24" s="4"/>
      <c r="M24" s="4"/>
      <c r="N24" s="4"/>
      <c r="O24" s="13"/>
      <c r="P24" s="4"/>
      <c r="Q24" s="13" t="s">
        <v>0</v>
      </c>
      <c r="R24" s="4"/>
    </row>
    <row r="25" spans="1:21" x14ac:dyDescent="0.2">
      <c r="A25" s="4"/>
      <c r="B25" s="4"/>
      <c r="C25" s="4"/>
      <c r="D25" s="4"/>
      <c r="E25" s="4"/>
      <c r="F25" s="4"/>
      <c r="G25" s="4"/>
      <c r="H25" s="4"/>
      <c r="I25" s="13"/>
      <c r="J25" s="4"/>
      <c r="K25" s="4"/>
      <c r="L25" s="4"/>
      <c r="M25" s="13"/>
      <c r="N25" s="13"/>
      <c r="O25" s="13" t="s">
        <v>2</v>
      </c>
      <c r="P25" s="13" t="s">
        <v>2</v>
      </c>
      <c r="Q25" s="13" t="s">
        <v>2</v>
      </c>
      <c r="R25" s="13" t="s">
        <v>3</v>
      </c>
    </row>
    <row r="26" spans="1:21" x14ac:dyDescent="0.2">
      <c r="A26" s="4"/>
      <c r="B26" s="4"/>
      <c r="C26" s="4"/>
      <c r="D26" s="4"/>
      <c r="E26" s="4"/>
      <c r="F26" s="4"/>
      <c r="G26" s="4"/>
      <c r="H26" s="13" t="s">
        <v>32</v>
      </c>
      <c r="I26" s="13"/>
      <c r="J26" s="4"/>
      <c r="K26" s="4"/>
      <c r="L26" s="4"/>
      <c r="M26" s="13"/>
      <c r="N26" s="13" t="s">
        <v>3</v>
      </c>
      <c r="O26" s="13" t="s">
        <v>31</v>
      </c>
      <c r="P26" s="13" t="s">
        <v>31</v>
      </c>
      <c r="Q26" s="13" t="s">
        <v>31</v>
      </c>
      <c r="R26" s="13" t="s">
        <v>30</v>
      </c>
    </row>
    <row r="27" spans="1:21" x14ac:dyDescent="0.2">
      <c r="A27" s="4"/>
      <c r="B27" s="13"/>
      <c r="C27" s="13" t="s">
        <v>29</v>
      </c>
      <c r="D27" s="13" t="s">
        <v>44</v>
      </c>
      <c r="E27" s="13" t="s">
        <v>28</v>
      </c>
      <c r="F27" s="13" t="s">
        <v>27</v>
      </c>
      <c r="G27" s="13" t="s">
        <v>26</v>
      </c>
      <c r="H27" s="13" t="s">
        <v>26</v>
      </c>
      <c r="I27" s="13"/>
      <c r="J27" s="13"/>
      <c r="K27" s="13"/>
      <c r="L27" s="13" t="s">
        <v>45</v>
      </c>
      <c r="M27" s="13" t="s">
        <v>25</v>
      </c>
      <c r="N27" s="13" t="s">
        <v>46</v>
      </c>
      <c r="O27" s="13" t="s">
        <v>17</v>
      </c>
      <c r="P27" s="13" t="s">
        <v>24</v>
      </c>
      <c r="Q27" s="13" t="s">
        <v>24</v>
      </c>
      <c r="R27" s="13" t="s">
        <v>23</v>
      </c>
    </row>
    <row r="28" spans="1:21" x14ac:dyDescent="0.2">
      <c r="A28" s="13" t="s">
        <v>1</v>
      </c>
      <c r="B28" s="13" t="s">
        <v>22</v>
      </c>
      <c r="C28" s="13" t="s">
        <v>21</v>
      </c>
      <c r="D28" s="13" t="s">
        <v>20</v>
      </c>
      <c r="E28" s="13" t="s">
        <v>21</v>
      </c>
      <c r="F28" s="13" t="s">
        <v>20</v>
      </c>
      <c r="G28" s="13" t="s">
        <v>19</v>
      </c>
      <c r="H28" s="13" t="s">
        <v>19</v>
      </c>
      <c r="I28" s="13" t="s">
        <v>18</v>
      </c>
      <c r="J28" s="13" t="s">
        <v>17</v>
      </c>
      <c r="K28" s="13" t="s">
        <v>16</v>
      </c>
      <c r="L28" s="13" t="s">
        <v>15</v>
      </c>
      <c r="M28" s="13" t="s">
        <v>15</v>
      </c>
      <c r="N28" s="13" t="s">
        <v>13</v>
      </c>
      <c r="O28" s="13" t="s">
        <v>14</v>
      </c>
      <c r="P28" s="13" t="s">
        <v>13</v>
      </c>
      <c r="Q28" s="13" t="s">
        <v>13</v>
      </c>
      <c r="R28" s="13" t="s">
        <v>6</v>
      </c>
    </row>
    <row r="30" spans="1:21" x14ac:dyDescent="0.2">
      <c r="A30">
        <v>0</v>
      </c>
      <c r="B30" s="10">
        <f>E10</f>
        <v>1000</v>
      </c>
      <c r="C30" s="19"/>
      <c r="D30" s="19"/>
      <c r="E30" s="19"/>
      <c r="F30" s="19"/>
      <c r="G30" s="19"/>
      <c r="H30" s="19"/>
      <c r="I30" s="15"/>
      <c r="J30" s="1"/>
      <c r="K30" s="10"/>
      <c r="L30" s="15"/>
      <c r="M30" s="9"/>
      <c r="N30" s="10"/>
      <c r="O30" s="26">
        <f>1/(1+'Combined WACOC-Tax Table'!$F$13)^A30</f>
        <v>1</v>
      </c>
      <c r="P30" s="16">
        <f t="shared" ref="P30:P70" si="3">N30*O30</f>
        <v>0</v>
      </c>
      <c r="Q30" s="15">
        <f>P30</f>
        <v>0</v>
      </c>
    </row>
    <row r="31" spans="1:21" x14ac:dyDescent="0.2">
      <c r="A31">
        <v>1</v>
      </c>
      <c r="C31" s="27">
        <f>(1/$E$11)*$B$30</f>
        <v>25</v>
      </c>
      <c r="D31" s="27">
        <f>$B$30-C31</f>
        <v>975</v>
      </c>
      <c r="E31" s="27">
        <f>HLOOKUP($E$12,'Combined WACOC-Tax Table'!$B$17:$E$58,A31+1)*$B$30</f>
        <v>37.5</v>
      </c>
      <c r="F31" s="27">
        <f>B30-E31</f>
        <v>962.5</v>
      </c>
      <c r="G31" s="27">
        <f t="shared" ref="G31:G70" si="4">(E31-C31)*$E$13</f>
        <v>3.1033746250000003</v>
      </c>
      <c r="H31" s="27">
        <f>G31</f>
        <v>3.1033746250000003</v>
      </c>
      <c r="I31" s="27">
        <f>D31-H31</f>
        <v>971.89662537499999</v>
      </c>
      <c r="J31" s="27">
        <f>'Combined WACOC-Tax Table'!$D$10*I31</f>
        <v>0.62205204515965218</v>
      </c>
      <c r="K31" s="27">
        <f>I31*('Combined WACOC-Tax Table'!$D$11+'Combined WACOC-Tax Table'!$D$12)</f>
        <v>66.251762490634832</v>
      </c>
      <c r="L31" s="27">
        <f t="shared" ref="L31:L70" si="5">$E$14*D31</f>
        <v>3.1117504148601971</v>
      </c>
      <c r="M31" s="27">
        <f t="shared" ref="M31:M70" si="6">($E$13/(1-$E$13))*K31</f>
        <v>21.880625263829138</v>
      </c>
      <c r="N31" s="27">
        <f>C31+J31+K31+L31+M31</f>
        <v>116.86619021448382</v>
      </c>
      <c r="O31" s="26">
        <f>1/(1+'Combined WACOC-Tax Table'!$F$13)^A31</f>
        <v>0.93971279486139858</v>
      </c>
      <c r="P31" s="18">
        <f t="shared" si="3"/>
        <v>109.82065423125643</v>
      </c>
      <c r="Q31" s="9">
        <f t="shared" ref="Q31:Q70" si="7">Q30+P31</f>
        <v>109.82065423125643</v>
      </c>
      <c r="R31" s="6">
        <f t="shared" ref="R31:R70" si="8">N31/$B$30</f>
        <v>0.11686619021448383</v>
      </c>
      <c r="S31" s="17"/>
    </row>
    <row r="32" spans="1:21" x14ac:dyDescent="0.2">
      <c r="A32">
        <v>2</v>
      </c>
      <c r="C32" s="9">
        <f t="shared" ref="C32:C70" si="9">IF(D31&lt;=0.001,0,(1/$E$11)*$B$30)</f>
        <v>25</v>
      </c>
      <c r="D32" s="9">
        <f t="shared" ref="D32:D70" si="10">D31-C32</f>
        <v>950</v>
      </c>
      <c r="E32" s="9">
        <f>HLOOKUP($E$12,'Combined WACOC-Tax Table'!$B$17:$E$58,A32+1)*$B$30</f>
        <v>72.19</v>
      </c>
      <c r="F32" s="9">
        <f t="shared" ref="F32:F70" si="11">F31-E32</f>
        <v>890.31</v>
      </c>
      <c r="G32" s="9">
        <f t="shared" si="4"/>
        <v>11.7158598843</v>
      </c>
      <c r="H32" s="9">
        <f t="shared" ref="H32:H70" si="12">H31+G32</f>
        <v>14.819234509300001</v>
      </c>
      <c r="I32" s="9">
        <f t="shared" ref="I32:I60" si="13">D32-H32</f>
        <v>935.18076549069997</v>
      </c>
      <c r="J32" s="9">
        <f>'Combined WACOC-Tax Table'!$D$10*I32</f>
        <v>0.59855245154596759</v>
      </c>
      <c r="K32" s="9">
        <f>I32*('Combined WACOC-Tax Table'!$D$11+'Combined WACOC-Tax Table'!$D$12)</f>
        <v>63.748934139157114</v>
      </c>
      <c r="L32" s="9">
        <f t="shared" si="5"/>
        <v>3.031961942684295</v>
      </c>
      <c r="M32" s="9">
        <f t="shared" si="6"/>
        <v>21.054029152274936</v>
      </c>
      <c r="N32" s="29">
        <f>C32+J32+K32+L32+M32</f>
        <v>113.43347768566231</v>
      </c>
      <c r="O32" s="26">
        <f>1/(1+'Combined WACOC-Tax Table'!$F$13)^A32</f>
        <v>0.88306013682622109</v>
      </c>
      <c r="P32" s="18">
        <f t="shared" si="3"/>
        <v>100.16858232577506</v>
      </c>
      <c r="Q32" s="9">
        <f t="shared" si="7"/>
        <v>209.98923655703149</v>
      </c>
      <c r="R32" s="6">
        <f t="shared" si="8"/>
        <v>0.11343347768566231</v>
      </c>
      <c r="S32" s="17"/>
    </row>
    <row r="33" spans="1:19" x14ac:dyDescent="0.2">
      <c r="A33">
        <v>3</v>
      </c>
      <c r="C33" s="9">
        <f t="shared" si="9"/>
        <v>25</v>
      </c>
      <c r="D33" s="9">
        <f t="shared" si="10"/>
        <v>925</v>
      </c>
      <c r="E33" s="9">
        <f>HLOOKUP($E$12,'Combined WACOC-Tax Table'!$B$17:$E$58,A33+1)*$B$30</f>
        <v>66.77</v>
      </c>
      <c r="F33" s="9">
        <f t="shared" si="11"/>
        <v>823.54</v>
      </c>
      <c r="G33" s="9">
        <f t="shared" si="4"/>
        <v>10.370236646899999</v>
      </c>
      <c r="H33" s="9">
        <f t="shared" si="12"/>
        <v>25.1894711562</v>
      </c>
      <c r="I33" s="9">
        <f t="shared" si="13"/>
        <v>899.81052884380006</v>
      </c>
      <c r="J33" s="9">
        <f>'Combined WACOC-Tax Table'!$D$10*I33</f>
        <v>0.57591410970020218</v>
      </c>
      <c r="K33" s="9">
        <f>I33*('Combined WACOC-Tax Table'!$D$11+'Combined WACOC-Tax Table'!$D$12)</f>
        <v>61.337833558718536</v>
      </c>
      <c r="L33" s="9">
        <f t="shared" si="5"/>
        <v>2.9521734705083924</v>
      </c>
      <c r="M33" s="9">
        <f t="shared" si="6"/>
        <v>20.257727494920012</v>
      </c>
      <c r="N33" s="29">
        <f t="shared" ref="N33:N70" si="14">C33+J33+K33+L33+M33</f>
        <v>110.12364863384715</v>
      </c>
      <c r="O33" s="26">
        <f>1/(1+'Combined WACOC-Tax Table'!$F$13)^A33</f>
        <v>0.82982290920765722</v>
      </c>
      <c r="P33" s="18">
        <f t="shared" si="3"/>
        <v>91.383126481900888</v>
      </c>
      <c r="Q33" s="9">
        <f t="shared" si="7"/>
        <v>301.37236303893235</v>
      </c>
      <c r="R33" s="6">
        <f t="shared" si="8"/>
        <v>0.11012364863384716</v>
      </c>
      <c r="S33" s="17"/>
    </row>
    <row r="34" spans="1:19" x14ac:dyDescent="0.2">
      <c r="A34">
        <v>4</v>
      </c>
      <c r="C34" s="9">
        <f t="shared" si="9"/>
        <v>25</v>
      </c>
      <c r="D34" s="9">
        <f t="shared" si="10"/>
        <v>900</v>
      </c>
      <c r="E34" s="9">
        <f>HLOOKUP($E$12,'Combined WACOC-Tax Table'!$B$17:$E$58,A34+1)*$B$30</f>
        <v>61.769999999999996</v>
      </c>
      <c r="F34" s="9">
        <f t="shared" si="11"/>
        <v>761.77</v>
      </c>
      <c r="G34" s="9">
        <f t="shared" si="4"/>
        <v>9.1288867968999998</v>
      </c>
      <c r="H34" s="9">
        <f t="shared" si="12"/>
        <v>34.318357953099998</v>
      </c>
      <c r="I34" s="9">
        <f t="shared" si="13"/>
        <v>865.68164204690004</v>
      </c>
      <c r="J34" s="9">
        <f>'Combined WACOC-Tax Table'!$D$10*I34</f>
        <v>0.55407028055546936</v>
      </c>
      <c r="K34" s="9">
        <f>I34*('Combined WACOC-Tax Table'!$D$11+'Combined WACOC-Tax Table'!$D$12)</f>
        <v>59.011352693260697</v>
      </c>
      <c r="L34" s="9">
        <f t="shared" si="5"/>
        <v>2.8723849983324898</v>
      </c>
      <c r="M34" s="9">
        <f t="shared" si="6"/>
        <v>19.489372751033045</v>
      </c>
      <c r="N34" s="29">
        <f t="shared" si="14"/>
        <v>106.92718072318171</v>
      </c>
      <c r="O34" s="26">
        <f>1/(1+'Combined WACOC-Tax Table'!$F$13)^A34</f>
        <v>0.77979520525154433</v>
      </c>
      <c r="P34" s="18">
        <f t="shared" si="3"/>
        <v>83.381302839002458</v>
      </c>
      <c r="Q34" s="9">
        <f t="shared" si="7"/>
        <v>384.75366587793479</v>
      </c>
      <c r="R34" s="6">
        <f t="shared" si="8"/>
        <v>0.10692718072318171</v>
      </c>
      <c r="S34" s="17"/>
    </row>
    <row r="35" spans="1:19" x14ac:dyDescent="0.2">
      <c r="A35">
        <v>5</v>
      </c>
      <c r="C35" s="9">
        <f t="shared" si="9"/>
        <v>25</v>
      </c>
      <c r="D35" s="9">
        <f t="shared" si="10"/>
        <v>875</v>
      </c>
      <c r="E35" s="9">
        <f>HLOOKUP($E$12,'Combined WACOC-Tax Table'!$B$17:$E$58,A35+1)*$B$30</f>
        <v>57.13</v>
      </c>
      <c r="F35" s="9">
        <f t="shared" si="11"/>
        <v>704.64</v>
      </c>
      <c r="G35" s="9">
        <f t="shared" si="4"/>
        <v>7.9769141361000004</v>
      </c>
      <c r="H35" s="9">
        <f t="shared" si="12"/>
        <v>42.295272089199997</v>
      </c>
      <c r="I35" s="9">
        <f t="shared" si="13"/>
        <v>832.70472791079999</v>
      </c>
      <c r="J35" s="9">
        <f>'Combined WACOC-Tax Table'!$D$10*I35</f>
        <v>0.53296375919729477</v>
      </c>
      <c r="K35" s="9">
        <f>I35*('Combined WACOC-Tax Table'!$D$11+'Combined WACOC-Tax Table'!$D$12)</f>
        <v>56.76339892330499</v>
      </c>
      <c r="L35" s="9">
        <f t="shared" si="5"/>
        <v>2.7925965261565873</v>
      </c>
      <c r="M35" s="9">
        <f t="shared" si="6"/>
        <v>18.746952742844346</v>
      </c>
      <c r="N35" s="29">
        <f t="shared" si="14"/>
        <v>103.83591195150322</v>
      </c>
      <c r="O35" s="26">
        <f>1/(1+'Combined WACOC-Tax Table'!$F$13)^A35</f>
        <v>0.73278353174644661</v>
      </c>
      <c r="P35" s="18">
        <f t="shared" si="3"/>
        <v>76.089246281935601</v>
      </c>
      <c r="Q35" s="9">
        <f t="shared" si="7"/>
        <v>460.84291215987037</v>
      </c>
      <c r="R35" s="6">
        <f t="shared" si="8"/>
        <v>0.10383591195150323</v>
      </c>
      <c r="S35" s="17"/>
    </row>
    <row r="36" spans="1:19" x14ac:dyDescent="0.2">
      <c r="A36">
        <v>6</v>
      </c>
      <c r="C36" s="9">
        <f t="shared" si="9"/>
        <v>25</v>
      </c>
      <c r="D36" s="9">
        <f t="shared" si="10"/>
        <v>850</v>
      </c>
      <c r="E36" s="9">
        <f>HLOOKUP($E$12,'Combined WACOC-Tax Table'!$B$17:$E$58,A36+1)*$B$30</f>
        <v>52.85</v>
      </c>
      <c r="F36" s="9">
        <f t="shared" si="11"/>
        <v>651.79</v>
      </c>
      <c r="G36" s="9">
        <f t="shared" si="4"/>
        <v>6.9143186645000005</v>
      </c>
      <c r="H36" s="9">
        <f t="shared" si="12"/>
        <v>49.209590753699999</v>
      </c>
      <c r="I36" s="9">
        <f t="shared" si="13"/>
        <v>800.79040924629999</v>
      </c>
      <c r="J36" s="9">
        <f>'Combined WACOC-Tax Table'!$D$10*I36</f>
        <v>0.51253734071120405</v>
      </c>
      <c r="K36" s="9">
        <f>I36*('Combined WACOC-Tax Table'!$D$11+'Combined WACOC-Tax Table'!$D$12)</f>
        <v>54.587879629372807</v>
      </c>
      <c r="L36" s="9">
        <f t="shared" si="5"/>
        <v>2.7128080539806847</v>
      </c>
      <c r="M36" s="9">
        <f t="shared" si="6"/>
        <v>18.028455292584226</v>
      </c>
      <c r="N36" s="29">
        <f t="shared" si="14"/>
        <v>100.84168031664892</v>
      </c>
      <c r="O36" s="26">
        <f>1/(1+'Combined WACOC-Tax Table'!$F$13)^A36</f>
        <v>0.68860606064585983</v>
      </c>
      <c r="P36" s="18">
        <f t="shared" si="3"/>
        <v>69.440192231756754</v>
      </c>
      <c r="Q36" s="9">
        <f t="shared" si="7"/>
        <v>530.28310439162715</v>
      </c>
      <c r="R36" s="6">
        <f t="shared" si="8"/>
        <v>0.10084168031664892</v>
      </c>
      <c r="S36" s="17"/>
    </row>
    <row r="37" spans="1:19" x14ac:dyDescent="0.2">
      <c r="A37">
        <v>7</v>
      </c>
      <c r="C37" s="9">
        <f t="shared" si="9"/>
        <v>25</v>
      </c>
      <c r="D37" s="9">
        <f t="shared" si="10"/>
        <v>825</v>
      </c>
      <c r="E37" s="9">
        <f>HLOOKUP($E$12,'Combined WACOC-Tax Table'!$B$17:$E$58,A37+1)*$B$30</f>
        <v>48.88</v>
      </c>
      <c r="F37" s="9">
        <f t="shared" si="11"/>
        <v>602.91</v>
      </c>
      <c r="G37" s="9">
        <f t="shared" si="4"/>
        <v>5.9286868836000011</v>
      </c>
      <c r="H37" s="9">
        <f t="shared" si="12"/>
        <v>55.1382776373</v>
      </c>
      <c r="I37" s="9">
        <f t="shared" si="13"/>
        <v>769.86172236269999</v>
      </c>
      <c r="J37" s="9">
        <f>'Combined WACOC-Tax Table'!$D$10*I37</f>
        <v>0.49274176530973318</v>
      </c>
      <c r="K37" s="9">
        <f>I37*('Combined WACOC-Tax Table'!$D$11+'Combined WACOC-Tax Table'!$D$12)</f>
        <v>52.479548389135346</v>
      </c>
      <c r="L37" s="9">
        <f t="shared" si="5"/>
        <v>2.6330195818047821</v>
      </c>
      <c r="M37" s="9">
        <f t="shared" si="6"/>
        <v>17.332147691617667</v>
      </c>
      <c r="N37" s="29">
        <f t="shared" si="14"/>
        <v>97.937457427867528</v>
      </c>
      <c r="O37" s="26">
        <f>1/(1+'Combined WACOC-Tax Table'!$F$13)^A37</f>
        <v>0.64709192580801866</v>
      </c>
      <c r="P37" s="18">
        <f t="shared" si="3"/>
        <v>63.374537935739639</v>
      </c>
      <c r="Q37" s="9">
        <f t="shared" si="7"/>
        <v>593.65764232736683</v>
      </c>
      <c r="R37" s="6">
        <f t="shared" si="8"/>
        <v>9.7937457427867525E-2</v>
      </c>
      <c r="S37" s="17"/>
    </row>
    <row r="38" spans="1:19" x14ac:dyDescent="0.2">
      <c r="A38">
        <v>8</v>
      </c>
      <c r="C38" s="9">
        <f t="shared" si="9"/>
        <v>25</v>
      </c>
      <c r="D38" s="9">
        <f t="shared" si="10"/>
        <v>800</v>
      </c>
      <c r="E38" s="9">
        <f>HLOOKUP($E$12,'Combined WACOC-Tax Table'!$B$17:$E$58,A38+1)*$B$30</f>
        <v>45.220000000000006</v>
      </c>
      <c r="F38" s="9">
        <f t="shared" si="11"/>
        <v>557.68999999999994</v>
      </c>
      <c r="G38" s="9">
        <f t="shared" si="4"/>
        <v>5.020018793400002</v>
      </c>
      <c r="H38" s="9">
        <f t="shared" si="12"/>
        <v>60.158296430700005</v>
      </c>
      <c r="I38" s="9">
        <f t="shared" si="13"/>
        <v>739.84170356929997</v>
      </c>
      <c r="J38" s="9">
        <f>'Combined WACOC-Tax Table'!$D$10*I38</f>
        <v>0.47352777320541811</v>
      </c>
      <c r="K38" s="9">
        <f>I38*('Combined WACOC-Tax Table'!$D$11+'Combined WACOC-Tax Table'!$D$12)</f>
        <v>50.433158780263788</v>
      </c>
      <c r="L38" s="9">
        <f t="shared" si="5"/>
        <v>2.55323110962888</v>
      </c>
      <c r="M38" s="9">
        <f t="shared" si="6"/>
        <v>16.656297231309658</v>
      </c>
      <c r="N38" s="29">
        <f t="shared" si="14"/>
        <v>95.116214894407733</v>
      </c>
      <c r="O38" s="26">
        <f>1/(1+'Combined WACOC-Tax Table'!$F$13)^A38</f>
        <v>0.60808056213329797</v>
      </c>
      <c r="P38" s="18">
        <f t="shared" si="3"/>
        <v>57.838321420983021</v>
      </c>
      <c r="Q38" s="9">
        <f t="shared" si="7"/>
        <v>651.49596374834982</v>
      </c>
      <c r="R38" s="6">
        <f t="shared" si="8"/>
        <v>9.5116214894407733E-2</v>
      </c>
      <c r="S38" s="17"/>
    </row>
    <row r="39" spans="1:19" x14ac:dyDescent="0.2">
      <c r="A39">
        <v>9</v>
      </c>
      <c r="C39" s="9">
        <f t="shared" si="9"/>
        <v>25</v>
      </c>
      <c r="D39" s="9">
        <f t="shared" si="10"/>
        <v>775</v>
      </c>
      <c r="E39" s="9">
        <f>HLOOKUP($E$12,'Combined WACOC-Tax Table'!$B$17:$E$58,A39+1)*$B$30</f>
        <v>44.62</v>
      </c>
      <c r="F39" s="9">
        <f t="shared" si="11"/>
        <v>513.06999999999994</v>
      </c>
      <c r="G39" s="9">
        <f t="shared" si="4"/>
        <v>4.8710568113999999</v>
      </c>
      <c r="H39" s="9">
        <f t="shared" si="12"/>
        <v>65.029353242100001</v>
      </c>
      <c r="I39" s="9">
        <f t="shared" si="13"/>
        <v>709.9706467579</v>
      </c>
      <c r="J39" s="9">
        <f>'Combined WACOC-Tax Table'!$D$10*I39</f>
        <v>0.45440912262522704</v>
      </c>
      <c r="K39" s="9">
        <f>I39*('Combined WACOC-Tax Table'!$D$11+'Combined WACOC-Tax Table'!$D$12)</f>
        <v>48.396923537189927</v>
      </c>
      <c r="L39" s="9">
        <f t="shared" si="5"/>
        <v>2.4734426374529774</v>
      </c>
      <c r="M39" s="9">
        <f t="shared" si="6"/>
        <v>15.983800400617808</v>
      </c>
      <c r="N39" s="29">
        <f t="shared" si="14"/>
        <v>92.308575697885942</v>
      </c>
      <c r="O39" s="26">
        <f>1/(1+'Combined WACOC-Tax Table'!$F$13)^A39</f>
        <v>0.57142108454317175</v>
      </c>
      <c r="P39" s="18">
        <f t="shared" si="3"/>
        <v>52.747066437921454</v>
      </c>
      <c r="Q39" s="9">
        <f t="shared" si="7"/>
        <v>704.24303018627131</v>
      </c>
      <c r="R39" s="6">
        <f t="shared" si="8"/>
        <v>9.2308575697885947E-2</v>
      </c>
      <c r="S39" s="17"/>
    </row>
    <row r="40" spans="1:19" x14ac:dyDescent="0.2">
      <c r="A40">
        <v>10</v>
      </c>
      <c r="C40" s="9">
        <f t="shared" si="9"/>
        <v>25</v>
      </c>
      <c r="D40" s="9">
        <f t="shared" si="10"/>
        <v>750</v>
      </c>
      <c r="E40" s="9">
        <f>HLOOKUP($E$12,'Combined WACOC-Tax Table'!$B$17:$E$58,A40+1)*$B$30</f>
        <v>44.61</v>
      </c>
      <c r="F40" s="9">
        <f t="shared" si="11"/>
        <v>468.45999999999992</v>
      </c>
      <c r="G40" s="9">
        <f t="shared" si="4"/>
        <v>4.8685741117000001</v>
      </c>
      <c r="H40" s="9">
        <f t="shared" si="12"/>
        <v>69.8979273538</v>
      </c>
      <c r="I40" s="9">
        <f t="shared" si="13"/>
        <v>680.10207264619999</v>
      </c>
      <c r="J40" s="9">
        <f>'Combined WACOC-Tax Table'!$D$10*I40</f>
        <v>0.435292061070438</v>
      </c>
      <c r="K40" s="9">
        <f>I40*('Combined WACOC-Tax Table'!$D$11+'Combined WACOC-Tax Table'!$D$12)</f>
        <v>46.360857533546017</v>
      </c>
      <c r="L40" s="9">
        <f t="shared" si="5"/>
        <v>2.3936541652770749</v>
      </c>
      <c r="M40" s="9">
        <f t="shared" si="6"/>
        <v>15.31135946375289</v>
      </c>
      <c r="N40" s="29">
        <f t="shared" si="14"/>
        <v>89.501163223646415</v>
      </c>
      <c r="O40" s="26">
        <f>1/(1+'Combined WACOC-Tax Table'!$F$13)^A40</f>
        <v>0.5369717043987956</v>
      </c>
      <c r="P40" s="18">
        <f t="shared" si="3"/>
        <v>48.059592161876218</v>
      </c>
      <c r="Q40" s="9">
        <f t="shared" si="7"/>
        <v>752.30262234814757</v>
      </c>
      <c r="R40" s="6">
        <f t="shared" si="8"/>
        <v>8.9501163223646416E-2</v>
      </c>
      <c r="S40" s="17"/>
    </row>
    <row r="41" spans="1:19" x14ac:dyDescent="0.2">
      <c r="A41">
        <v>11</v>
      </c>
      <c r="C41" s="9">
        <f t="shared" si="9"/>
        <v>25</v>
      </c>
      <c r="D41" s="9">
        <f t="shared" si="10"/>
        <v>725</v>
      </c>
      <c r="E41" s="9">
        <f>HLOOKUP($E$12,'Combined WACOC-Tax Table'!$B$17:$E$58,A41+1)*$B$30</f>
        <v>44.62</v>
      </c>
      <c r="F41" s="9">
        <f t="shared" si="11"/>
        <v>423.83999999999992</v>
      </c>
      <c r="G41" s="9">
        <f t="shared" si="4"/>
        <v>4.8710568113999999</v>
      </c>
      <c r="H41" s="9">
        <f t="shared" si="12"/>
        <v>74.768984165199996</v>
      </c>
      <c r="I41" s="9">
        <f t="shared" si="13"/>
        <v>650.23101583480002</v>
      </c>
      <c r="J41" s="9">
        <f>'Combined WACOC-Tax Table'!$D$10*I41</f>
        <v>0.41617341049024686</v>
      </c>
      <c r="K41" s="9">
        <f>I41*('Combined WACOC-Tax Table'!$D$11+'Combined WACOC-Tax Table'!$D$12)</f>
        <v>44.324622290472156</v>
      </c>
      <c r="L41" s="9">
        <f t="shared" si="5"/>
        <v>2.3138656931011723</v>
      </c>
      <c r="M41" s="9">
        <f t="shared" si="6"/>
        <v>14.638862633061038</v>
      </c>
      <c r="N41" s="29">
        <f t="shared" si="14"/>
        <v>86.693524027124624</v>
      </c>
      <c r="O41" s="26">
        <f>1/(1+'Combined WACOC-Tax Table'!$F$13)^A41</f>
        <v>0.50459918110208091</v>
      </c>
      <c r="P41" s="18">
        <f t="shared" si="3"/>
        <v>43.745481230940662</v>
      </c>
      <c r="Q41" s="9">
        <f t="shared" si="7"/>
        <v>796.04810357908821</v>
      </c>
      <c r="R41" s="6">
        <f t="shared" si="8"/>
        <v>8.669352402712463E-2</v>
      </c>
      <c r="S41" s="17"/>
    </row>
    <row r="42" spans="1:19" x14ac:dyDescent="0.2">
      <c r="A42">
        <v>12</v>
      </c>
      <c r="C42" s="9">
        <f t="shared" si="9"/>
        <v>25</v>
      </c>
      <c r="D42" s="9">
        <f t="shared" si="10"/>
        <v>700</v>
      </c>
      <c r="E42" s="9">
        <f>HLOOKUP($E$12,'Combined WACOC-Tax Table'!$B$17:$E$58,A42+1)*$B$30</f>
        <v>44.61</v>
      </c>
      <c r="F42" s="9">
        <f t="shared" si="11"/>
        <v>379.2299999999999</v>
      </c>
      <c r="G42" s="9">
        <f t="shared" si="4"/>
        <v>4.8685741117000001</v>
      </c>
      <c r="H42" s="9">
        <f t="shared" si="12"/>
        <v>79.637558276899995</v>
      </c>
      <c r="I42" s="9">
        <f t="shared" si="13"/>
        <v>620.36244172310001</v>
      </c>
      <c r="J42" s="9">
        <f>'Combined WACOC-Tax Table'!$D$10*I42</f>
        <v>0.39705634893545783</v>
      </c>
      <c r="K42" s="9">
        <f>I42*('Combined WACOC-Tax Table'!$D$11+'Combined WACOC-Tax Table'!$D$12)</f>
        <v>42.288556286828253</v>
      </c>
      <c r="L42" s="9">
        <f t="shared" si="5"/>
        <v>2.2340772209252697</v>
      </c>
      <c r="M42" s="9">
        <f t="shared" si="6"/>
        <v>13.966421696196122</v>
      </c>
      <c r="N42" s="29">
        <f t="shared" si="14"/>
        <v>83.886111552885097</v>
      </c>
      <c r="O42" s="26">
        <f>1/(1+'Combined WACOC-Tax Table'!$F$13)^A42</f>
        <v>0.47417830675820954</v>
      </c>
      <c r="P42" s="18">
        <f t="shared" si="3"/>
        <v>39.776974336677334</v>
      </c>
      <c r="Q42" s="9">
        <f t="shared" si="7"/>
        <v>835.82507791576552</v>
      </c>
      <c r="R42" s="6">
        <f t="shared" si="8"/>
        <v>8.3886111552885098E-2</v>
      </c>
      <c r="S42" s="17"/>
    </row>
    <row r="43" spans="1:19" x14ac:dyDescent="0.2">
      <c r="A43">
        <v>13</v>
      </c>
      <c r="C43" s="9">
        <f t="shared" si="9"/>
        <v>25</v>
      </c>
      <c r="D43" s="9">
        <f t="shared" si="10"/>
        <v>675</v>
      </c>
      <c r="E43" s="9">
        <f>HLOOKUP($E$12,'Combined WACOC-Tax Table'!$B$17:$E$58,A43+1)*$B$30</f>
        <v>44.62</v>
      </c>
      <c r="F43" s="9">
        <f t="shared" si="11"/>
        <v>334.6099999999999</v>
      </c>
      <c r="G43" s="9">
        <f t="shared" si="4"/>
        <v>4.8710568113999999</v>
      </c>
      <c r="H43" s="9">
        <f t="shared" si="12"/>
        <v>84.50861508829999</v>
      </c>
      <c r="I43" s="9">
        <f t="shared" si="13"/>
        <v>590.49138491170004</v>
      </c>
      <c r="J43" s="9">
        <f>'Combined WACOC-Tax Table'!$D$10*I43</f>
        <v>0.37793769835526675</v>
      </c>
      <c r="K43" s="9">
        <f>I43*('Combined WACOC-Tax Table'!$D$11+'Combined WACOC-Tax Table'!$D$12)</f>
        <v>40.252321043754385</v>
      </c>
      <c r="L43" s="9">
        <f t="shared" si="5"/>
        <v>2.1542887487493672</v>
      </c>
      <c r="M43" s="9">
        <f t="shared" si="6"/>
        <v>13.293924865504268</v>
      </c>
      <c r="N43" s="29">
        <f t="shared" si="14"/>
        <v>81.078472356363278</v>
      </c>
      <c r="O43" s="26">
        <f>1/(1+'Combined WACOC-Tax Table'!$F$13)^A43</f>
        <v>0.44559142190640272</v>
      </c>
      <c r="P43" s="18">
        <f t="shared" si="3"/>
        <v>36.127871783270876</v>
      </c>
      <c r="Q43" s="9">
        <f t="shared" si="7"/>
        <v>871.95294969903637</v>
      </c>
      <c r="R43" s="6">
        <f t="shared" si="8"/>
        <v>8.1078472356363285E-2</v>
      </c>
      <c r="S43" s="17"/>
    </row>
    <row r="44" spans="1:19" x14ac:dyDescent="0.2">
      <c r="A44">
        <v>14</v>
      </c>
      <c r="C44" s="9">
        <f t="shared" si="9"/>
        <v>25</v>
      </c>
      <c r="D44" s="9">
        <f t="shared" si="10"/>
        <v>650</v>
      </c>
      <c r="E44" s="9">
        <f>HLOOKUP($E$12,'Combined WACOC-Tax Table'!$B$17:$E$58,A44+1)*$B$30</f>
        <v>44.61</v>
      </c>
      <c r="F44" s="9">
        <f t="shared" si="11"/>
        <v>289.99999999999989</v>
      </c>
      <c r="G44" s="9">
        <f t="shared" si="4"/>
        <v>4.8685741117000001</v>
      </c>
      <c r="H44" s="9">
        <f t="shared" si="12"/>
        <v>89.377189199999989</v>
      </c>
      <c r="I44" s="9">
        <f t="shared" si="13"/>
        <v>560.62281080000002</v>
      </c>
      <c r="J44" s="9">
        <f>'Combined WACOC-Tax Table'!$D$10*I44</f>
        <v>0.35882063680047765</v>
      </c>
      <c r="K44" s="9">
        <f>I44*('Combined WACOC-Tax Table'!$D$11+'Combined WACOC-Tax Table'!$D$12)</f>
        <v>38.216255040110482</v>
      </c>
      <c r="L44" s="9">
        <f t="shared" si="5"/>
        <v>2.074500276573465</v>
      </c>
      <c r="M44" s="9">
        <f t="shared" si="6"/>
        <v>12.621483928639352</v>
      </c>
      <c r="N44" s="29">
        <f t="shared" si="14"/>
        <v>78.271059882123765</v>
      </c>
      <c r="O44" s="26">
        <f>1/(1+'Combined WACOC-Tax Table'!$F$13)^A44</f>
        <v>0.41872796044593036</v>
      </c>
      <c r="P44" s="18">
        <f t="shared" si="3"/>
        <v>32.774281266382964</v>
      </c>
      <c r="Q44" s="9">
        <f t="shared" si="7"/>
        <v>904.72723096541938</v>
      </c>
      <c r="R44" s="6">
        <f t="shared" si="8"/>
        <v>7.8271059882123767E-2</v>
      </c>
      <c r="S44" s="17"/>
    </row>
    <row r="45" spans="1:19" x14ac:dyDescent="0.2">
      <c r="A45">
        <v>15</v>
      </c>
      <c r="C45" s="9">
        <f t="shared" si="9"/>
        <v>25</v>
      </c>
      <c r="D45" s="9">
        <f t="shared" si="10"/>
        <v>625</v>
      </c>
      <c r="E45" s="9">
        <f>HLOOKUP($E$12,'Combined WACOC-Tax Table'!$B$17:$E$58,A45+1)*$B$30</f>
        <v>44.62</v>
      </c>
      <c r="F45" s="9">
        <f t="shared" si="11"/>
        <v>245.37999999999988</v>
      </c>
      <c r="G45" s="9">
        <f t="shared" si="4"/>
        <v>4.8710568113999999</v>
      </c>
      <c r="H45" s="9">
        <f t="shared" si="12"/>
        <v>94.248246011399985</v>
      </c>
      <c r="I45" s="9">
        <f t="shared" si="13"/>
        <v>530.75175398860006</v>
      </c>
      <c r="J45" s="9">
        <f>'Combined WACOC-Tax Table'!$D$10*I45</f>
        <v>0.33970198622028658</v>
      </c>
      <c r="K45" s="9">
        <f>I45*('Combined WACOC-Tax Table'!$D$11+'Combined WACOC-Tax Table'!$D$12)</f>
        <v>36.180019797036621</v>
      </c>
      <c r="L45" s="9">
        <f t="shared" si="5"/>
        <v>1.9947118043975625</v>
      </c>
      <c r="M45" s="9">
        <f t="shared" si="6"/>
        <v>11.948987097947501</v>
      </c>
      <c r="N45" s="29">
        <f t="shared" si="14"/>
        <v>75.463420685601974</v>
      </c>
      <c r="O45" s="26">
        <f>1/(1+'Combined WACOC-Tax Table'!$F$13)^A45</f>
        <v>0.39348402199725835</v>
      </c>
      <c r="P45" s="18">
        <f t="shared" si="3"/>
        <v>29.69365028504177</v>
      </c>
      <c r="Q45" s="9">
        <f t="shared" si="7"/>
        <v>934.42088125046121</v>
      </c>
      <c r="R45" s="6">
        <f t="shared" si="8"/>
        <v>7.5463420685601981E-2</v>
      </c>
      <c r="S45" s="17"/>
    </row>
    <row r="46" spans="1:19" x14ac:dyDescent="0.2">
      <c r="A46">
        <v>16</v>
      </c>
      <c r="C46" s="9">
        <f t="shared" si="9"/>
        <v>25</v>
      </c>
      <c r="D46" s="9">
        <f t="shared" si="10"/>
        <v>600</v>
      </c>
      <c r="E46" s="9">
        <f>HLOOKUP($E$12,'Combined WACOC-Tax Table'!$B$17:$E$58,A46+1)*$B$30</f>
        <v>44.61</v>
      </c>
      <c r="F46" s="9">
        <f t="shared" si="11"/>
        <v>200.76999999999987</v>
      </c>
      <c r="G46" s="9">
        <f t="shared" si="4"/>
        <v>4.8685741117000001</v>
      </c>
      <c r="H46" s="9">
        <f t="shared" si="12"/>
        <v>99.116820123099984</v>
      </c>
      <c r="I46" s="9">
        <f t="shared" si="13"/>
        <v>500.88317987690004</v>
      </c>
      <c r="J46" s="9">
        <f>'Combined WACOC-Tax Table'!$D$10*I46</f>
        <v>0.32058492466549754</v>
      </c>
      <c r="K46" s="9">
        <f>I46*('Combined WACOC-Tax Table'!$D$11+'Combined WACOC-Tax Table'!$D$12)</f>
        <v>34.143953793392711</v>
      </c>
      <c r="L46" s="9">
        <f t="shared" si="5"/>
        <v>1.9149233322216599</v>
      </c>
      <c r="M46" s="9">
        <f t="shared" si="6"/>
        <v>11.276546161082582</v>
      </c>
      <c r="N46" s="29">
        <f t="shared" si="14"/>
        <v>72.656008211362447</v>
      </c>
      <c r="O46" s="26">
        <f>1/(1+'Combined WACOC-Tax Table'!$F$13)^A46</f>
        <v>0.36976197004434774</v>
      </c>
      <c r="P46" s="18">
        <f t="shared" si="3"/>
        <v>26.865428731791685</v>
      </c>
      <c r="Q46" s="9">
        <f t="shared" si="7"/>
        <v>961.28630998225287</v>
      </c>
      <c r="R46" s="6">
        <f t="shared" si="8"/>
        <v>7.2656008211362449E-2</v>
      </c>
      <c r="S46" s="17"/>
    </row>
    <row r="47" spans="1:19" x14ac:dyDescent="0.2">
      <c r="A47">
        <v>17</v>
      </c>
      <c r="C47" s="9">
        <f t="shared" si="9"/>
        <v>25</v>
      </c>
      <c r="D47" s="9">
        <f t="shared" si="10"/>
        <v>575</v>
      </c>
      <c r="E47" s="9">
        <f>HLOOKUP($E$12,'Combined WACOC-Tax Table'!$B$17:$E$58,A47+1)*$B$30</f>
        <v>44.62</v>
      </c>
      <c r="F47" s="9">
        <f t="shared" si="11"/>
        <v>156.14999999999986</v>
      </c>
      <c r="G47" s="9">
        <f t="shared" si="4"/>
        <v>4.8710568113999999</v>
      </c>
      <c r="H47" s="9">
        <f t="shared" si="12"/>
        <v>103.98787693449998</v>
      </c>
      <c r="I47" s="9">
        <f t="shared" si="13"/>
        <v>471.01212306550002</v>
      </c>
      <c r="J47" s="9">
        <f>'Combined WACOC-Tax Table'!$D$10*I47</f>
        <v>0.30146627408530641</v>
      </c>
      <c r="K47" s="9">
        <f>I47*('Combined WACOC-Tax Table'!$D$11+'Combined WACOC-Tax Table'!$D$12)</f>
        <v>32.10771855031885</v>
      </c>
      <c r="L47" s="9">
        <f t="shared" si="5"/>
        <v>1.8351348600457573</v>
      </c>
      <c r="M47" s="9">
        <f t="shared" si="6"/>
        <v>10.604049330390731</v>
      </c>
      <c r="N47" s="29">
        <f t="shared" si="14"/>
        <v>69.848369014840642</v>
      </c>
      <c r="O47" s="26">
        <f>1/(1+'Combined WACOC-Tax Table'!$F$13)^A47</f>
        <v>0.34747005430383077</v>
      </c>
      <c r="P47" s="18">
        <f t="shared" si="3"/>
        <v>24.270216574620687</v>
      </c>
      <c r="Q47" s="9">
        <f t="shared" si="7"/>
        <v>985.55652655687356</v>
      </c>
      <c r="R47" s="6">
        <f t="shared" si="8"/>
        <v>6.9848369014840636E-2</v>
      </c>
      <c r="S47" s="17"/>
    </row>
    <row r="48" spans="1:19" x14ac:dyDescent="0.2">
      <c r="A48">
        <v>18</v>
      </c>
      <c r="C48" s="9">
        <f t="shared" si="9"/>
        <v>25</v>
      </c>
      <c r="D48" s="9">
        <f t="shared" si="10"/>
        <v>550</v>
      </c>
      <c r="E48" s="9">
        <f>HLOOKUP($E$12,'Combined WACOC-Tax Table'!$B$17:$E$58,A48+1)*$B$30</f>
        <v>44.61</v>
      </c>
      <c r="F48" s="9">
        <f t="shared" si="11"/>
        <v>111.53999999999986</v>
      </c>
      <c r="G48" s="9">
        <f t="shared" si="4"/>
        <v>4.8685741117000001</v>
      </c>
      <c r="H48" s="9">
        <f t="shared" si="12"/>
        <v>108.85645104619998</v>
      </c>
      <c r="I48" s="9">
        <f t="shared" si="13"/>
        <v>441.14354895380001</v>
      </c>
      <c r="J48" s="9">
        <f>'Combined WACOC-Tax Table'!$D$10*I48</f>
        <v>0.28234921253051731</v>
      </c>
      <c r="K48" s="9">
        <f>I48*('Combined WACOC-Tax Table'!$D$11+'Combined WACOC-Tax Table'!$D$12)</f>
        <v>30.071652546674944</v>
      </c>
      <c r="L48" s="9">
        <f t="shared" si="5"/>
        <v>1.755346387869855</v>
      </c>
      <c r="M48" s="9">
        <f t="shared" si="6"/>
        <v>9.9316083935258135</v>
      </c>
      <c r="N48" s="29">
        <f t="shared" si="14"/>
        <v>67.04095654060113</v>
      </c>
      <c r="O48" s="26">
        <f>1/(1+'Combined WACOC-Tax Table'!$F$13)^A48</f>
        <v>0.32652205586049476</v>
      </c>
      <c r="P48" s="18">
        <f t="shared" si="3"/>
        <v>21.890350956491165</v>
      </c>
      <c r="Q48" s="9">
        <f t="shared" si="7"/>
        <v>1007.4468775133647</v>
      </c>
      <c r="R48" s="6">
        <f t="shared" si="8"/>
        <v>6.7040956540601132E-2</v>
      </c>
      <c r="S48" s="17"/>
    </row>
    <row r="49" spans="1:19" x14ac:dyDescent="0.2">
      <c r="A49">
        <v>19</v>
      </c>
      <c r="C49" s="9">
        <f t="shared" si="9"/>
        <v>25</v>
      </c>
      <c r="D49" s="9">
        <f t="shared" si="10"/>
        <v>525</v>
      </c>
      <c r="E49" s="9">
        <f>HLOOKUP($E$12,'Combined WACOC-Tax Table'!$B$17:$E$58,A49+1)*$B$30</f>
        <v>44.62</v>
      </c>
      <c r="F49" s="9">
        <f t="shared" si="11"/>
        <v>66.919999999999874</v>
      </c>
      <c r="G49" s="9">
        <f t="shared" si="4"/>
        <v>4.8710568113999999</v>
      </c>
      <c r="H49" s="9">
        <f t="shared" si="12"/>
        <v>113.72750785759997</v>
      </c>
      <c r="I49" s="9">
        <f t="shared" si="13"/>
        <v>411.27249214240004</v>
      </c>
      <c r="J49" s="9">
        <f>'Combined WACOC-Tax Table'!$D$10*I49</f>
        <v>0.26323056195032624</v>
      </c>
      <c r="K49" s="9">
        <f>I49*('Combined WACOC-Tax Table'!$D$11+'Combined WACOC-Tax Table'!$D$12)</f>
        <v>28.035417303601079</v>
      </c>
      <c r="L49" s="9">
        <f t="shared" si="5"/>
        <v>1.6755579156939524</v>
      </c>
      <c r="M49" s="9">
        <f t="shared" si="6"/>
        <v>9.2591115628339615</v>
      </c>
      <c r="N49" s="29">
        <f t="shared" si="14"/>
        <v>64.23331734407931</v>
      </c>
      <c r="O49" s="26">
        <f>1/(1+'Combined WACOC-Tax Table'!$F$13)^A49</f>
        <v>0.30683695369655523</v>
      </c>
      <c r="P49" s="18">
        <f t="shared" si="3"/>
        <v>19.709155419681402</v>
      </c>
      <c r="Q49" s="9">
        <f t="shared" si="7"/>
        <v>1027.1560329330462</v>
      </c>
      <c r="R49" s="6">
        <f t="shared" si="8"/>
        <v>6.4233317344079305E-2</v>
      </c>
      <c r="S49" s="17"/>
    </row>
    <row r="50" spans="1:19" x14ac:dyDescent="0.2">
      <c r="A50">
        <v>20</v>
      </c>
      <c r="C50" s="9">
        <f t="shared" si="9"/>
        <v>25</v>
      </c>
      <c r="D50" s="9">
        <f t="shared" si="10"/>
        <v>500</v>
      </c>
      <c r="E50" s="9">
        <f>HLOOKUP($E$12,'Combined WACOC-Tax Table'!$B$17:$E$58,A50+1)*$B$30</f>
        <v>44.61</v>
      </c>
      <c r="F50" s="9">
        <f t="shared" si="11"/>
        <v>22.309999999999874</v>
      </c>
      <c r="G50" s="9">
        <f t="shared" si="4"/>
        <v>4.8685741117000001</v>
      </c>
      <c r="H50" s="9">
        <f t="shared" si="12"/>
        <v>118.59608196929997</v>
      </c>
      <c r="I50" s="9">
        <f t="shared" si="13"/>
        <v>381.40391803070003</v>
      </c>
      <c r="J50" s="9">
        <f>'Combined WACOC-Tax Table'!$D$10*I50</f>
        <v>0.24411350039553717</v>
      </c>
      <c r="K50" s="9">
        <f>I50*('Combined WACOC-Tax Table'!$D$11+'Combined WACOC-Tax Table'!$D$12)</f>
        <v>25.999351299957173</v>
      </c>
      <c r="L50" s="9">
        <f t="shared" si="5"/>
        <v>1.5957694435180498</v>
      </c>
      <c r="M50" s="9">
        <f t="shared" si="6"/>
        <v>8.5866706259690435</v>
      </c>
      <c r="N50" s="29">
        <f t="shared" si="14"/>
        <v>61.425904869839805</v>
      </c>
      <c r="O50" s="26">
        <f>1/(1+'Combined WACOC-Tax Table'!$F$13)^A50</f>
        <v>0.28833861132494754</v>
      </c>
      <c r="P50" s="18">
        <f t="shared" si="3"/>
        <v>17.711460109547943</v>
      </c>
      <c r="Q50" s="9">
        <f t="shared" si="7"/>
        <v>1044.8674930425941</v>
      </c>
      <c r="R50" s="6">
        <f t="shared" si="8"/>
        <v>6.1425904869839808E-2</v>
      </c>
      <c r="S50" s="17"/>
    </row>
    <row r="51" spans="1:19" x14ac:dyDescent="0.2">
      <c r="A51">
        <v>21</v>
      </c>
      <c r="C51" s="9">
        <f t="shared" si="9"/>
        <v>25</v>
      </c>
      <c r="D51" s="9">
        <f t="shared" si="10"/>
        <v>475</v>
      </c>
      <c r="E51" s="9">
        <f>HLOOKUP($E$12,'Combined WACOC-Tax Table'!$B$17:$E$58,A51+1)*$B$30</f>
        <v>22.31</v>
      </c>
      <c r="F51" s="9">
        <f t="shared" si="11"/>
        <v>-1.2434497875801753E-13</v>
      </c>
      <c r="G51" s="9">
        <f t="shared" si="4"/>
        <v>-0.66784621930000032</v>
      </c>
      <c r="H51" s="9">
        <f t="shared" si="12"/>
        <v>117.92823574999997</v>
      </c>
      <c r="I51" s="9">
        <f t="shared" si="13"/>
        <v>357.07176425</v>
      </c>
      <c r="J51" s="9">
        <f>'Combined WACOC-Tax Table'!$D$10*I51</f>
        <v>0.22853996548735336</v>
      </c>
      <c r="K51" s="9">
        <f>I51*('Combined WACOC-Tax Table'!$D$11+'Combined WACOC-Tax Table'!$D$12)</f>
        <v>24.340689225127413</v>
      </c>
      <c r="L51" s="9">
        <f t="shared" si="5"/>
        <v>1.5159809713421475</v>
      </c>
      <c r="M51" s="9">
        <f t="shared" si="6"/>
        <v>8.0388729231712421</v>
      </c>
      <c r="N51" s="29">
        <f t="shared" si="14"/>
        <v>59.124083085128149</v>
      </c>
      <c r="O51" s="26">
        <f>1/(1+'Combined WACOC-Tax Table'!$F$13)^A51</f>
        <v>0.27095548231462091</v>
      </c>
      <c r="P51" s="18">
        <f t="shared" si="3"/>
        <v>16.019994448740619</v>
      </c>
      <c r="Q51" s="9">
        <f t="shared" si="7"/>
        <v>1060.8874874913347</v>
      </c>
      <c r="R51" s="6">
        <f t="shared" si="8"/>
        <v>5.9124083085128148E-2</v>
      </c>
      <c r="S51" s="17"/>
    </row>
    <row r="52" spans="1:19" x14ac:dyDescent="0.2">
      <c r="A52">
        <v>22</v>
      </c>
      <c r="C52" s="9">
        <f t="shared" si="9"/>
        <v>25</v>
      </c>
      <c r="D52" s="9">
        <f t="shared" si="10"/>
        <v>450</v>
      </c>
      <c r="E52" s="9">
        <f>HLOOKUP($E$12,'Combined WACOC-Tax Table'!$B$17:$E$58,A52+1)*$B$30</f>
        <v>0</v>
      </c>
      <c r="F52" s="9">
        <f t="shared" si="11"/>
        <v>-1.2434497875801753E-13</v>
      </c>
      <c r="G52" s="9">
        <f>(E52-C52)*$E$13</f>
        <v>-6.2067492500000006</v>
      </c>
      <c r="H52" s="9">
        <f t="shared" si="12"/>
        <v>111.72148649999997</v>
      </c>
      <c r="I52" s="9">
        <f t="shared" si="13"/>
        <v>338.27851350000003</v>
      </c>
      <c r="J52" s="9">
        <f>'Combined WACOC-Tax Table'!$D$10*I52</f>
        <v>0.21651154625117688</v>
      </c>
      <c r="K52" s="9">
        <f>I52*('Combined WACOC-Tax Table'!$D$11+'Combined WACOC-Tax Table'!$D$12)</f>
        <v>23.059600318541762</v>
      </c>
      <c r="L52" s="9">
        <f t="shared" si="5"/>
        <v>1.4361924991662449</v>
      </c>
      <c r="M52" s="9">
        <f t="shared" si="6"/>
        <v>7.615774348267494</v>
      </c>
      <c r="N52" s="29">
        <f t="shared" si="14"/>
        <v>57.328078712226677</v>
      </c>
      <c r="O52" s="26">
        <f>1/(1+'Combined WACOC-Tax Table'!$F$13)^A52</f>
        <v>0.25462033356889074</v>
      </c>
      <c r="P52" s="18">
        <f t="shared" si="3"/>
        <v>14.59689452457078</v>
      </c>
      <c r="Q52" s="9">
        <f t="shared" si="7"/>
        <v>1075.4843820159056</v>
      </c>
      <c r="R52" s="6">
        <f t="shared" si="8"/>
        <v>5.7328078712226678E-2</v>
      </c>
      <c r="S52" s="17"/>
    </row>
    <row r="53" spans="1:19" x14ac:dyDescent="0.2">
      <c r="A53">
        <v>23</v>
      </c>
      <c r="C53" s="9">
        <f t="shared" si="9"/>
        <v>25</v>
      </c>
      <c r="D53" s="9">
        <f t="shared" si="10"/>
        <v>425</v>
      </c>
      <c r="E53" s="9">
        <f>HLOOKUP($E$12,'Combined WACOC-Tax Table'!$B$17:$E$58,A53+1)*$B$30</f>
        <v>0</v>
      </c>
      <c r="F53" s="9">
        <f t="shared" si="11"/>
        <v>-1.2434497875801753E-13</v>
      </c>
      <c r="G53" s="9">
        <f t="shared" si="4"/>
        <v>-6.2067492500000006</v>
      </c>
      <c r="H53" s="9">
        <f t="shared" si="12"/>
        <v>105.51473724999997</v>
      </c>
      <c r="I53" s="9">
        <f t="shared" si="13"/>
        <v>319.48526275000006</v>
      </c>
      <c r="J53" s="9">
        <f>'Combined WACOC-Tax Table'!$D$10*I53</f>
        <v>0.2044831270150004</v>
      </c>
      <c r="K53" s="9">
        <f>I53*('Combined WACOC-Tax Table'!$D$11+'Combined WACOC-Tax Table'!$D$12)</f>
        <v>21.77851141195611</v>
      </c>
      <c r="L53" s="9">
        <f t="shared" si="5"/>
        <v>1.3564040269903423</v>
      </c>
      <c r="M53" s="9">
        <f t="shared" si="6"/>
        <v>7.192675773363745</v>
      </c>
      <c r="N53" s="29">
        <f t="shared" si="14"/>
        <v>55.532074339325199</v>
      </c>
      <c r="O53" s="26">
        <f>1/(1+'Combined WACOC-Tax Table'!$F$13)^A53</f>
        <v>0.2392699852865639</v>
      </c>
      <c r="P53" s="18">
        <f t="shared" si="3"/>
        <v>13.287158610102713</v>
      </c>
      <c r="Q53" s="9">
        <f t="shared" si="7"/>
        <v>1088.7715406260083</v>
      </c>
      <c r="R53" s="6">
        <f t="shared" si="8"/>
        <v>5.5532074339325201E-2</v>
      </c>
      <c r="S53" s="17"/>
    </row>
    <row r="54" spans="1:19" x14ac:dyDescent="0.2">
      <c r="A54">
        <v>24</v>
      </c>
      <c r="C54" s="9">
        <f t="shared" si="9"/>
        <v>25</v>
      </c>
      <c r="D54" s="9">
        <f t="shared" si="10"/>
        <v>400</v>
      </c>
      <c r="E54" s="9">
        <f>HLOOKUP($E$12,'Combined WACOC-Tax Table'!$B$17:$E$58,A54+1)*$B$30</f>
        <v>0</v>
      </c>
      <c r="F54" s="9">
        <f t="shared" si="11"/>
        <v>-1.2434497875801753E-13</v>
      </c>
      <c r="G54" s="9">
        <f t="shared" si="4"/>
        <v>-6.2067492500000006</v>
      </c>
      <c r="H54" s="9">
        <f t="shared" si="12"/>
        <v>99.307987999999966</v>
      </c>
      <c r="I54" s="9">
        <f t="shared" si="13"/>
        <v>300.69201200000003</v>
      </c>
      <c r="J54" s="9">
        <f>'Combined WACOC-Tax Table'!$D$10*I54</f>
        <v>0.1924547077788239</v>
      </c>
      <c r="K54" s="9">
        <f>I54*('Combined WACOC-Tax Table'!$D$11+'Combined WACOC-Tax Table'!$D$12)</f>
        <v>20.497422505370455</v>
      </c>
      <c r="L54" s="9">
        <f t="shared" si="5"/>
        <v>1.27661555481444</v>
      </c>
      <c r="M54" s="9">
        <f t="shared" si="6"/>
        <v>6.7695771984599942</v>
      </c>
      <c r="N54" s="29">
        <f t="shared" si="14"/>
        <v>53.736069966423713</v>
      </c>
      <c r="O54" s="26">
        <f>1/(1+'Combined WACOC-Tax Table'!$F$13)^A54</f>
        <v>0.22484506660008269</v>
      </c>
      <c r="P54" s="18">
        <f t="shared" si="3"/>
        <v>12.082290230427242</v>
      </c>
      <c r="Q54" s="9">
        <f t="shared" si="7"/>
        <v>1100.8538308564355</v>
      </c>
      <c r="R54" s="6">
        <f t="shared" si="8"/>
        <v>5.3736069966423716E-2</v>
      </c>
      <c r="S54" s="17"/>
    </row>
    <row r="55" spans="1:19" x14ac:dyDescent="0.2">
      <c r="A55">
        <v>25</v>
      </c>
      <c r="C55" s="9">
        <f t="shared" si="9"/>
        <v>25</v>
      </c>
      <c r="D55" s="9">
        <f t="shared" si="10"/>
        <v>375</v>
      </c>
      <c r="E55" s="9">
        <f>HLOOKUP($E$12,'Combined WACOC-Tax Table'!$B$17:$E$58,A55+1)*$B$30</f>
        <v>0</v>
      </c>
      <c r="F55" s="9">
        <f t="shared" si="11"/>
        <v>-1.2434497875801753E-13</v>
      </c>
      <c r="G55" s="9">
        <f t="shared" si="4"/>
        <v>-6.2067492500000006</v>
      </c>
      <c r="H55" s="9">
        <f t="shared" si="12"/>
        <v>93.101238749999965</v>
      </c>
      <c r="I55" s="9">
        <f t="shared" si="13"/>
        <v>281.89876125000001</v>
      </c>
      <c r="J55" s="9">
        <f>'Combined WACOC-Tax Table'!$D$10*I55</f>
        <v>0.18042628854264739</v>
      </c>
      <c r="K55" s="9">
        <f>I55*('Combined WACOC-Tax Table'!$D$11+'Combined WACOC-Tax Table'!$D$12)</f>
        <v>19.2163335987848</v>
      </c>
      <c r="L55" s="9">
        <f t="shared" si="5"/>
        <v>1.1968270826385374</v>
      </c>
      <c r="M55" s="9">
        <f t="shared" si="6"/>
        <v>6.3464786235562443</v>
      </c>
      <c r="N55" s="29">
        <f t="shared" si="14"/>
        <v>51.940065593522228</v>
      </c>
      <c r="O55" s="26">
        <f>1/(1+'Combined WACOC-Tax Table'!$F$13)^A55</f>
        <v>0.211289785945561</v>
      </c>
      <c r="P55" s="18">
        <f t="shared" si="3"/>
        <v>10.974405341253709</v>
      </c>
      <c r="Q55" s="9">
        <f t="shared" si="7"/>
        <v>1111.8282361976892</v>
      </c>
      <c r="R55" s="6">
        <f t="shared" si="8"/>
        <v>5.1940065593522225E-2</v>
      </c>
      <c r="S55" s="17"/>
    </row>
    <row r="56" spans="1:19" x14ac:dyDescent="0.2">
      <c r="A56">
        <v>26</v>
      </c>
      <c r="C56" s="9">
        <f t="shared" si="9"/>
        <v>25</v>
      </c>
      <c r="D56" s="9">
        <f t="shared" si="10"/>
        <v>350</v>
      </c>
      <c r="E56" s="9">
        <f>HLOOKUP($E$12,'Combined WACOC-Tax Table'!$B$17:$E$58,A56+1)*$B$30</f>
        <v>0</v>
      </c>
      <c r="F56" s="9">
        <f t="shared" si="11"/>
        <v>-1.2434497875801753E-13</v>
      </c>
      <c r="G56" s="9">
        <f t="shared" si="4"/>
        <v>-6.2067492500000006</v>
      </c>
      <c r="H56" s="9">
        <f t="shared" si="12"/>
        <v>86.894489499999963</v>
      </c>
      <c r="I56" s="9">
        <f t="shared" si="13"/>
        <v>263.10551050000004</v>
      </c>
      <c r="J56" s="9">
        <f>'Combined WACOC-Tax Table'!$D$10*I56</f>
        <v>0.16839786930647091</v>
      </c>
      <c r="K56" s="9">
        <f>I56*('Combined WACOC-Tax Table'!$D$11+'Combined WACOC-Tax Table'!$D$12)</f>
        <v>17.935244692199149</v>
      </c>
      <c r="L56" s="9">
        <f t="shared" si="5"/>
        <v>1.1170386104626349</v>
      </c>
      <c r="M56" s="9">
        <f t="shared" si="6"/>
        <v>5.9233800486524952</v>
      </c>
      <c r="N56" s="29">
        <f t="shared" si="14"/>
        <v>50.144061220620756</v>
      </c>
      <c r="O56" s="26">
        <f>1/(1+'Combined WACOC-Tax Table'!$F$13)^A56</f>
        <v>0.19855171527656981</v>
      </c>
      <c r="P56" s="18">
        <f t="shared" si="3"/>
        <v>9.9561893662875782</v>
      </c>
      <c r="Q56" s="9">
        <f t="shared" si="7"/>
        <v>1121.7844255639768</v>
      </c>
      <c r="R56" s="6">
        <f t="shared" si="8"/>
        <v>5.0144061220620754E-2</v>
      </c>
      <c r="S56" s="17"/>
    </row>
    <row r="57" spans="1:19" x14ac:dyDescent="0.2">
      <c r="A57">
        <v>27</v>
      </c>
      <c r="C57" s="9">
        <f t="shared" si="9"/>
        <v>25</v>
      </c>
      <c r="D57" s="9">
        <f t="shared" si="10"/>
        <v>325</v>
      </c>
      <c r="E57" s="9">
        <f>HLOOKUP($E$12,'Combined WACOC-Tax Table'!$B$17:$E$58,A57+1)*$B$30</f>
        <v>0</v>
      </c>
      <c r="F57" s="9">
        <f t="shared" si="11"/>
        <v>-1.2434497875801753E-13</v>
      </c>
      <c r="G57" s="9">
        <f t="shared" si="4"/>
        <v>-6.2067492500000006</v>
      </c>
      <c r="H57" s="9">
        <f t="shared" si="12"/>
        <v>80.687740249999962</v>
      </c>
      <c r="I57" s="9">
        <f t="shared" si="13"/>
        <v>244.31225975000004</v>
      </c>
      <c r="J57" s="9">
        <f>'Combined WACOC-Tax Table'!$D$10*I57</f>
        <v>0.15636945007029443</v>
      </c>
      <c r="K57" s="9">
        <f>I57*('Combined WACOC-Tax Table'!$D$11+'Combined WACOC-Tax Table'!$D$12)</f>
        <v>16.654155785613497</v>
      </c>
      <c r="L57" s="9">
        <f t="shared" si="5"/>
        <v>1.0372501382867325</v>
      </c>
      <c r="M57" s="9">
        <f t="shared" si="6"/>
        <v>5.5002814737487462</v>
      </c>
      <c r="N57" s="29">
        <f t="shared" si="14"/>
        <v>48.348056847719263</v>
      </c>
      <c r="O57" s="26">
        <f>1/(1+'Combined WACOC-Tax Table'!$F$13)^A57</f>
        <v>0.18658158728707006</v>
      </c>
      <c r="P57" s="18">
        <f t="shared" si="3"/>
        <v>9.0208571888929576</v>
      </c>
      <c r="Q57" s="9">
        <f t="shared" si="7"/>
        <v>1130.8052827528697</v>
      </c>
      <c r="R57" s="6">
        <f t="shared" si="8"/>
        <v>4.8348056847719263E-2</v>
      </c>
      <c r="S57" s="17"/>
    </row>
    <row r="58" spans="1:19" x14ac:dyDescent="0.2">
      <c r="A58">
        <v>28</v>
      </c>
      <c r="C58" s="9">
        <f t="shared" si="9"/>
        <v>25</v>
      </c>
      <c r="D58" s="9">
        <f t="shared" si="10"/>
        <v>300</v>
      </c>
      <c r="E58" s="9">
        <f>HLOOKUP($E$12,'Combined WACOC-Tax Table'!$B$17:$E$58,A58+1)*$B$30</f>
        <v>0</v>
      </c>
      <c r="F58" s="9">
        <f t="shared" si="11"/>
        <v>-1.2434497875801753E-13</v>
      </c>
      <c r="G58" s="9">
        <f t="shared" si="4"/>
        <v>-6.2067492500000006</v>
      </c>
      <c r="H58" s="9">
        <f t="shared" si="12"/>
        <v>74.48099099999996</v>
      </c>
      <c r="I58" s="9">
        <f t="shared" si="13"/>
        <v>225.51900900000004</v>
      </c>
      <c r="J58" s="9">
        <f>'Combined WACOC-Tax Table'!$D$10*I58</f>
        <v>0.14434103083411795</v>
      </c>
      <c r="K58" s="9">
        <f>I58*('Combined WACOC-Tax Table'!$D$11+'Combined WACOC-Tax Table'!$D$12)</f>
        <v>15.373066879027842</v>
      </c>
      <c r="L58" s="9">
        <f t="shared" si="5"/>
        <v>0.95746166611082995</v>
      </c>
      <c r="M58" s="9">
        <f t="shared" si="6"/>
        <v>5.0771828988449963</v>
      </c>
      <c r="N58" s="29">
        <f t="shared" si="14"/>
        <v>46.552052474817785</v>
      </c>
      <c r="O58" s="26">
        <f>1/(1+'Combined WACOC-Tax Table'!$F$13)^A58</f>
        <v>0.17533310485920861</v>
      </c>
      <c r="P58" s="18">
        <f t="shared" si="3"/>
        <v>8.1621158979786088</v>
      </c>
      <c r="Q58" s="9">
        <f t="shared" si="7"/>
        <v>1138.9673986508483</v>
      </c>
      <c r="R58" s="6">
        <f t="shared" si="8"/>
        <v>4.6552052474817786E-2</v>
      </c>
      <c r="S58" s="17"/>
    </row>
    <row r="59" spans="1:19" x14ac:dyDescent="0.2">
      <c r="A59">
        <v>29</v>
      </c>
      <c r="C59" s="9">
        <f t="shared" si="9"/>
        <v>25</v>
      </c>
      <c r="D59" s="9">
        <f t="shared" si="10"/>
        <v>275</v>
      </c>
      <c r="E59" s="9">
        <f>HLOOKUP($E$12,'Combined WACOC-Tax Table'!$B$17:$E$58,A59+1)*$B$30</f>
        <v>0</v>
      </c>
      <c r="F59" s="9">
        <f t="shared" si="11"/>
        <v>-1.2434497875801753E-13</v>
      </c>
      <c r="G59" s="9">
        <f t="shared" si="4"/>
        <v>-6.2067492500000006</v>
      </c>
      <c r="H59" s="9">
        <f t="shared" si="12"/>
        <v>68.274241749999959</v>
      </c>
      <c r="I59" s="9">
        <f t="shared" si="13"/>
        <v>206.72575825000004</v>
      </c>
      <c r="J59" s="9">
        <f>'Combined WACOC-Tax Table'!$D$10*I59</f>
        <v>0.13231261159794144</v>
      </c>
      <c r="K59" s="9">
        <f>I59*('Combined WACOC-Tax Table'!$D$11+'Combined WACOC-Tax Table'!$D$12)</f>
        <v>14.091977972442189</v>
      </c>
      <c r="L59" s="9">
        <f t="shared" si="5"/>
        <v>0.87767319393492749</v>
      </c>
      <c r="M59" s="9">
        <f t="shared" si="6"/>
        <v>4.6540843239412464</v>
      </c>
      <c r="N59" s="29">
        <f t="shared" si="14"/>
        <v>44.756048101916306</v>
      </c>
      <c r="O59" s="26">
        <f>1/(1+'Combined WACOC-Tax Table'!$F$13)^A59</f>
        <v>0.16476276199897361</v>
      </c>
      <c r="P59" s="18">
        <f t="shared" si="3"/>
        <v>7.3741301014306506</v>
      </c>
      <c r="Q59" s="9">
        <f t="shared" si="7"/>
        <v>1146.3415287522789</v>
      </c>
      <c r="R59" s="6">
        <f t="shared" si="8"/>
        <v>4.4756048101916308E-2</v>
      </c>
      <c r="S59" s="17"/>
    </row>
    <row r="60" spans="1:19" x14ac:dyDescent="0.2">
      <c r="A60">
        <v>30</v>
      </c>
      <c r="C60" s="9">
        <f t="shared" si="9"/>
        <v>25</v>
      </c>
      <c r="D60" s="9">
        <f t="shared" si="10"/>
        <v>250</v>
      </c>
      <c r="E60" s="9">
        <f>HLOOKUP($E$12,'Combined WACOC-Tax Table'!$B$17:$E$58,A60+1)*$B$30</f>
        <v>0</v>
      </c>
      <c r="F60" s="9">
        <f t="shared" si="11"/>
        <v>-1.2434497875801753E-13</v>
      </c>
      <c r="G60" s="9">
        <f t="shared" si="4"/>
        <v>-6.2067492500000006</v>
      </c>
      <c r="H60" s="9">
        <f t="shared" si="12"/>
        <v>62.067492499999958</v>
      </c>
      <c r="I60" s="9">
        <f t="shared" si="13"/>
        <v>187.93250750000004</v>
      </c>
      <c r="J60" s="9">
        <f>'Combined WACOC-Tax Table'!$D$10*I60</f>
        <v>0.12028419236176495</v>
      </c>
      <c r="K60" s="9">
        <f>I60*('Combined WACOC-Tax Table'!$D$11+'Combined WACOC-Tax Table'!$D$12)</f>
        <v>12.810889065856536</v>
      </c>
      <c r="L60" s="9">
        <f t="shared" si="5"/>
        <v>0.79788472175902492</v>
      </c>
      <c r="M60" s="9">
        <f t="shared" si="6"/>
        <v>4.2309857490374974</v>
      </c>
      <c r="N60" s="29">
        <f t="shared" si="14"/>
        <v>42.960043729014828</v>
      </c>
      <c r="O60" s="26">
        <f>1/(1+'Combined WACOC-Tax Table'!$F$13)^A60</f>
        <v>0.15482967556713892</v>
      </c>
      <c r="P60" s="18">
        <f t="shared" si="3"/>
        <v>6.6514896329134663</v>
      </c>
      <c r="Q60" s="9">
        <f t="shared" si="7"/>
        <v>1152.9930183851923</v>
      </c>
      <c r="R60" s="6">
        <f t="shared" si="8"/>
        <v>4.2960043729014831E-2</v>
      </c>
      <c r="S60" s="17"/>
    </row>
    <row r="61" spans="1:19" x14ac:dyDescent="0.2">
      <c r="A61">
        <v>31</v>
      </c>
      <c r="C61" s="9">
        <f t="shared" si="9"/>
        <v>25</v>
      </c>
      <c r="D61" s="9">
        <f t="shared" si="10"/>
        <v>225</v>
      </c>
      <c r="E61" s="9">
        <f>HLOOKUP($E$12,'Combined WACOC-Tax Table'!$B$17:$E$58,A61+1)*$B$30</f>
        <v>0</v>
      </c>
      <c r="F61" s="9">
        <f t="shared" si="11"/>
        <v>-1.2434497875801753E-13</v>
      </c>
      <c r="G61" s="9">
        <f t="shared" si="4"/>
        <v>-6.2067492500000006</v>
      </c>
      <c r="H61" s="9">
        <f t="shared" si="12"/>
        <v>55.860743249999956</v>
      </c>
      <c r="I61" s="9">
        <f t="shared" ref="I61:I70" si="15">D61</f>
        <v>225</v>
      </c>
      <c r="J61" s="9">
        <f>'Combined WACOC-Tax Table'!$D$10*I61</f>
        <v>0.14400884467205391</v>
      </c>
      <c r="K61" s="9">
        <f>I61*('Combined WACOC-Tax Table'!$D$11+'Combined WACOC-Tax Table'!$D$12)</f>
        <v>15.337687333404626</v>
      </c>
      <c r="L61" s="9">
        <f t="shared" si="5"/>
        <v>0.71809624958312246</v>
      </c>
      <c r="M61" s="9">
        <f t="shared" si="6"/>
        <v>5.0654982801920871</v>
      </c>
      <c r="N61" s="29">
        <f t="shared" si="14"/>
        <v>46.265290707851889</v>
      </c>
      <c r="O61" s="26">
        <f>1/(1+'Combined WACOC-Tax Table'!$F$13)^A61</f>
        <v>0.1454954271546797</v>
      </c>
      <c r="P61" s="18">
        <f t="shared" si="3"/>
        <v>6.7313882339743438</v>
      </c>
      <c r="Q61" s="9">
        <f t="shared" si="7"/>
        <v>1159.7244066191665</v>
      </c>
      <c r="R61" s="6">
        <f t="shared" si="8"/>
        <v>4.6265290707851889E-2</v>
      </c>
      <c r="S61" s="17"/>
    </row>
    <row r="62" spans="1:19" x14ac:dyDescent="0.2">
      <c r="A62">
        <v>32</v>
      </c>
      <c r="C62" s="9">
        <f t="shared" si="9"/>
        <v>25</v>
      </c>
      <c r="D62" s="9">
        <f t="shared" si="10"/>
        <v>200</v>
      </c>
      <c r="E62" s="9">
        <f>HLOOKUP($E$12,'Combined WACOC-Tax Table'!$B$17:$E$58,A62+1)*$B$30</f>
        <v>0</v>
      </c>
      <c r="F62" s="9">
        <f t="shared" si="11"/>
        <v>-1.2434497875801753E-13</v>
      </c>
      <c r="G62" s="9">
        <f t="shared" si="4"/>
        <v>-6.2067492500000006</v>
      </c>
      <c r="H62" s="9">
        <f t="shared" si="12"/>
        <v>49.653993999999955</v>
      </c>
      <c r="I62" s="9">
        <f t="shared" si="15"/>
        <v>200</v>
      </c>
      <c r="J62" s="9">
        <f>'Combined WACOC-Tax Table'!$D$10*I62</f>
        <v>0.12800786193071459</v>
      </c>
      <c r="K62" s="9">
        <f>I62*('Combined WACOC-Tax Table'!$D$11+'Combined WACOC-Tax Table'!$D$12)</f>
        <v>13.633499851915223</v>
      </c>
      <c r="L62" s="9">
        <f t="shared" si="5"/>
        <v>0.63830777740722</v>
      </c>
      <c r="M62" s="9">
        <f t="shared" si="6"/>
        <v>4.5026651379485223</v>
      </c>
      <c r="N62" s="29">
        <f t="shared" si="14"/>
        <v>43.902480629201676</v>
      </c>
      <c r="O62" s="26">
        <f>1/(1+'Combined WACOC-Tax Table'!$F$13)^A62</f>
        <v>0.13672391449107713</v>
      </c>
      <c r="P62" s="18">
        <f t="shared" si="3"/>
        <v>6.0025190074931398</v>
      </c>
      <c r="Q62" s="9">
        <f t="shared" si="7"/>
        <v>1165.7269256266597</v>
      </c>
      <c r="R62" s="6">
        <f t="shared" si="8"/>
        <v>4.3902480629201678E-2</v>
      </c>
      <c r="S62" s="17"/>
    </row>
    <row r="63" spans="1:19" x14ac:dyDescent="0.2">
      <c r="A63">
        <v>33</v>
      </c>
      <c r="C63" s="9">
        <f t="shared" si="9"/>
        <v>25</v>
      </c>
      <c r="D63" s="9">
        <f t="shared" si="10"/>
        <v>175</v>
      </c>
      <c r="E63" s="9">
        <f>HLOOKUP($E$12,'Combined WACOC-Tax Table'!$B$17:$E$58,A63+1)*$B$30</f>
        <v>0</v>
      </c>
      <c r="F63" s="9">
        <f t="shared" si="11"/>
        <v>-1.2434497875801753E-13</v>
      </c>
      <c r="G63" s="9">
        <f t="shared" si="4"/>
        <v>-6.2067492500000006</v>
      </c>
      <c r="H63" s="9">
        <f t="shared" si="12"/>
        <v>43.447244749999953</v>
      </c>
      <c r="I63" s="9">
        <f t="shared" si="15"/>
        <v>175</v>
      </c>
      <c r="J63" s="9">
        <f>'Combined WACOC-Tax Table'!$D$10*I63</f>
        <v>0.11200687918937527</v>
      </c>
      <c r="K63" s="9">
        <f>I63*('Combined WACOC-Tax Table'!$D$11+'Combined WACOC-Tax Table'!$D$12)</f>
        <v>11.929312370425821</v>
      </c>
      <c r="L63" s="9">
        <f t="shared" si="5"/>
        <v>0.55851930523131743</v>
      </c>
      <c r="M63" s="9">
        <f t="shared" si="6"/>
        <v>3.9398319957049575</v>
      </c>
      <c r="N63" s="29">
        <f t="shared" si="14"/>
        <v>41.53967055055147</v>
      </c>
      <c r="O63" s="26">
        <f>1/(1+'Combined WACOC-Tax Table'!$F$13)^A63</f>
        <v>0.12848121181080097</v>
      </c>
      <c r="P63" s="18">
        <f t="shared" si="3"/>
        <v>5.3370672105562944</v>
      </c>
      <c r="Q63" s="9">
        <f t="shared" si="7"/>
        <v>1171.0639928372161</v>
      </c>
      <c r="R63" s="6">
        <f t="shared" si="8"/>
        <v>4.1539670550551473E-2</v>
      </c>
      <c r="S63" s="17"/>
    </row>
    <row r="64" spans="1:19" x14ac:dyDescent="0.2">
      <c r="A64">
        <v>34</v>
      </c>
      <c r="C64" s="9">
        <f t="shared" si="9"/>
        <v>25</v>
      </c>
      <c r="D64" s="9">
        <f t="shared" si="10"/>
        <v>150</v>
      </c>
      <c r="E64" s="9">
        <f>HLOOKUP($E$12,'Combined WACOC-Tax Table'!$B$17:$E$58,A64+1)*$B$30</f>
        <v>0</v>
      </c>
      <c r="F64" s="9">
        <f t="shared" si="11"/>
        <v>-1.2434497875801753E-13</v>
      </c>
      <c r="G64" s="9">
        <f t="shared" si="4"/>
        <v>-6.2067492500000006</v>
      </c>
      <c r="H64" s="9">
        <f t="shared" si="12"/>
        <v>37.240495499999952</v>
      </c>
      <c r="I64" s="9">
        <f t="shared" si="15"/>
        <v>150</v>
      </c>
      <c r="J64" s="9">
        <f>'Combined WACOC-Tax Table'!$D$10*I64</f>
        <v>9.6005896448035949E-2</v>
      </c>
      <c r="K64" s="9">
        <f>I64*('Combined WACOC-Tax Table'!$D$11+'Combined WACOC-Tax Table'!$D$12)</f>
        <v>10.225124888936417</v>
      </c>
      <c r="L64" s="9">
        <f t="shared" si="5"/>
        <v>0.47873083305541497</v>
      </c>
      <c r="M64" s="9">
        <f t="shared" si="6"/>
        <v>3.3769988534613917</v>
      </c>
      <c r="N64" s="29">
        <f t="shared" si="14"/>
        <v>39.176860471901264</v>
      </c>
      <c r="O64" s="26">
        <f>1/(1+'Combined WACOC-Tax Table'!$F$13)^A64</f>
        <v>0.12073543863790712</v>
      </c>
      <c r="P64" s="18">
        <f t="shared" si="3"/>
        <v>4.7300354335310839</v>
      </c>
      <c r="Q64" s="9">
        <f t="shared" si="7"/>
        <v>1175.7940282707473</v>
      </c>
      <c r="R64" s="6">
        <f t="shared" si="8"/>
        <v>3.9176860471901262E-2</v>
      </c>
      <c r="S64" s="17"/>
    </row>
    <row r="65" spans="1:19" x14ac:dyDescent="0.2">
      <c r="A65">
        <v>35</v>
      </c>
      <c r="C65" s="9">
        <f t="shared" si="9"/>
        <v>25</v>
      </c>
      <c r="D65" s="9">
        <f t="shared" si="10"/>
        <v>125</v>
      </c>
      <c r="E65" s="9">
        <f>HLOOKUP($E$12,'Combined WACOC-Tax Table'!$B$17:$E$58,A65+1)*$B$30</f>
        <v>0</v>
      </c>
      <c r="F65" s="9">
        <f t="shared" si="11"/>
        <v>-1.2434497875801753E-13</v>
      </c>
      <c r="G65" s="9">
        <f t="shared" si="4"/>
        <v>-6.2067492500000006</v>
      </c>
      <c r="H65" s="9">
        <f t="shared" si="12"/>
        <v>31.03374624999995</v>
      </c>
      <c r="I65" s="9">
        <f t="shared" si="15"/>
        <v>125</v>
      </c>
      <c r="J65" s="9">
        <f>'Combined WACOC-Tax Table'!$D$10*I65</f>
        <v>8.0004913706696629E-2</v>
      </c>
      <c r="K65" s="9">
        <f>I65*('Combined WACOC-Tax Table'!$D$11+'Combined WACOC-Tax Table'!$D$12)</f>
        <v>8.5209374074470148</v>
      </c>
      <c r="L65" s="9">
        <f t="shared" si="5"/>
        <v>0.39894236087951246</v>
      </c>
      <c r="M65" s="9">
        <f t="shared" si="6"/>
        <v>2.8141657112178264</v>
      </c>
      <c r="N65" s="29">
        <f t="shared" si="14"/>
        <v>36.814050393251044</v>
      </c>
      <c r="O65" s="26">
        <f>1/(1+'Combined WACOC-Tax Table'!$F$13)^A65</f>
        <v>0.11345663648124457</v>
      </c>
      <c r="P65" s="18">
        <f t="shared" si="3"/>
        <v>4.1767983328693026</v>
      </c>
      <c r="Q65" s="9">
        <f t="shared" si="7"/>
        <v>1179.9708266036166</v>
      </c>
      <c r="R65" s="6">
        <f t="shared" si="8"/>
        <v>3.6814050393251044E-2</v>
      </c>
      <c r="S65" s="17"/>
    </row>
    <row r="66" spans="1:19" x14ac:dyDescent="0.2">
      <c r="A66">
        <v>36</v>
      </c>
      <c r="C66" s="9">
        <f t="shared" si="9"/>
        <v>25</v>
      </c>
      <c r="D66" s="9">
        <f t="shared" si="10"/>
        <v>100</v>
      </c>
      <c r="E66" s="9">
        <f>HLOOKUP($E$12,'Combined WACOC-Tax Table'!$B$17:$E$58,A66+1)*$B$30</f>
        <v>0</v>
      </c>
      <c r="F66" s="9">
        <f t="shared" si="11"/>
        <v>-1.2434497875801753E-13</v>
      </c>
      <c r="G66" s="9">
        <f t="shared" si="4"/>
        <v>-6.2067492500000006</v>
      </c>
      <c r="H66" s="9">
        <f t="shared" si="12"/>
        <v>24.826996999999949</v>
      </c>
      <c r="I66" s="9">
        <f t="shared" si="15"/>
        <v>100</v>
      </c>
      <c r="J66" s="9">
        <f>'Combined WACOC-Tax Table'!$D$10*I66</f>
        <v>6.4003930965357295E-2</v>
      </c>
      <c r="K66" s="9">
        <f>I66*('Combined WACOC-Tax Table'!$D$11+'Combined WACOC-Tax Table'!$D$12)</f>
        <v>6.8167499259576116</v>
      </c>
      <c r="L66" s="9">
        <f t="shared" si="5"/>
        <v>0.31915388870361</v>
      </c>
      <c r="M66" s="9">
        <f t="shared" si="6"/>
        <v>2.2513325689742612</v>
      </c>
      <c r="N66" s="29">
        <f t="shared" si="14"/>
        <v>34.451240314600838</v>
      </c>
      <c r="O66" s="26">
        <f>1/(1+'Combined WACOC-Tax Table'!$F$13)^A66</f>
        <v>0.10661665296336408</v>
      </c>
      <c r="P66" s="18">
        <f t="shared" si="3"/>
        <v>3.6730759327792555</v>
      </c>
      <c r="Q66" s="9">
        <f t="shared" si="7"/>
        <v>1183.6439025363959</v>
      </c>
      <c r="R66" s="6">
        <f t="shared" si="8"/>
        <v>3.4451240314600839E-2</v>
      </c>
      <c r="S66" s="3"/>
    </row>
    <row r="67" spans="1:19" x14ac:dyDescent="0.2">
      <c r="A67">
        <v>37</v>
      </c>
      <c r="C67" s="9">
        <f t="shared" si="9"/>
        <v>25</v>
      </c>
      <c r="D67" s="9">
        <f t="shared" si="10"/>
        <v>75</v>
      </c>
      <c r="E67" s="9">
        <f>HLOOKUP($E$12,'Combined WACOC-Tax Table'!$B$17:$E$58,A67+1)*$B$30</f>
        <v>0</v>
      </c>
      <c r="F67" s="9">
        <f t="shared" si="11"/>
        <v>-1.2434497875801753E-13</v>
      </c>
      <c r="G67" s="9">
        <f t="shared" si="4"/>
        <v>-6.2067492500000006</v>
      </c>
      <c r="H67" s="9">
        <f t="shared" si="12"/>
        <v>18.620247749999947</v>
      </c>
      <c r="I67" s="9">
        <f t="shared" si="15"/>
        <v>75</v>
      </c>
      <c r="J67" s="9">
        <f>'Combined WACOC-Tax Table'!$D$10*I67</f>
        <v>4.8002948224017974E-2</v>
      </c>
      <c r="K67" s="9">
        <f>I67*('Combined WACOC-Tax Table'!$D$11+'Combined WACOC-Tax Table'!$D$12)</f>
        <v>5.1125624444682085</v>
      </c>
      <c r="L67" s="9">
        <f t="shared" si="5"/>
        <v>0.23936541652770749</v>
      </c>
      <c r="M67" s="9">
        <f t="shared" si="6"/>
        <v>1.6884994267306959</v>
      </c>
      <c r="N67" s="29">
        <f t="shared" si="14"/>
        <v>32.088430235950632</v>
      </c>
      <c r="O67" s="26">
        <f>1/(1+'Combined WACOC-Tax Table'!$F$13)^A67</f>
        <v>0.10018903293497067</v>
      </c>
      <c r="P67" s="18">
        <f t="shared" si="3"/>
        <v>3.2149087937411664</v>
      </c>
      <c r="Q67" s="9">
        <f t="shared" si="7"/>
        <v>1186.8588113301371</v>
      </c>
      <c r="R67" s="6">
        <f t="shared" si="8"/>
        <v>3.2088430235950635E-2</v>
      </c>
      <c r="S67" s="3"/>
    </row>
    <row r="68" spans="1:19" x14ac:dyDescent="0.2">
      <c r="A68">
        <v>38</v>
      </c>
      <c r="C68" s="9">
        <f t="shared" si="9"/>
        <v>25</v>
      </c>
      <c r="D68" s="9">
        <f t="shared" si="10"/>
        <v>50</v>
      </c>
      <c r="E68" s="9">
        <f>HLOOKUP($E$12,'Combined WACOC-Tax Table'!$B$17:$E$58,A68+1)*$B$30</f>
        <v>0</v>
      </c>
      <c r="F68" s="9">
        <f t="shared" si="11"/>
        <v>-1.2434497875801753E-13</v>
      </c>
      <c r="G68" s="9">
        <f t="shared" si="4"/>
        <v>-6.2067492500000006</v>
      </c>
      <c r="H68" s="9">
        <f t="shared" si="12"/>
        <v>12.413498499999946</v>
      </c>
      <c r="I68" s="9">
        <f t="shared" si="15"/>
        <v>50</v>
      </c>
      <c r="J68" s="9">
        <f>'Combined WACOC-Tax Table'!$D$10*I68</f>
        <v>3.2001965482678647E-2</v>
      </c>
      <c r="K68" s="9">
        <f>I68*('Combined WACOC-Tax Table'!$D$11+'Combined WACOC-Tax Table'!$D$12)</f>
        <v>3.4083749629788058</v>
      </c>
      <c r="L68" s="9">
        <f t="shared" si="5"/>
        <v>0.159576944351805</v>
      </c>
      <c r="M68" s="9">
        <f t="shared" si="6"/>
        <v>1.1256662844871306</v>
      </c>
      <c r="N68" s="29">
        <f t="shared" si="14"/>
        <v>29.725620157300419</v>
      </c>
      <c r="O68" s="26">
        <f>1/(1+'Combined WACOC-Tax Table'!$F$13)^A68</f>
        <v>9.4148916153782E-2</v>
      </c>
      <c r="P68" s="18">
        <f t="shared" si="3"/>
        <v>2.7986349198088494</v>
      </c>
      <c r="Q68" s="9">
        <f t="shared" si="7"/>
        <v>1189.6574462499459</v>
      </c>
      <c r="R68" s="6">
        <f t="shared" si="8"/>
        <v>2.972562015730042E-2</v>
      </c>
      <c r="S68" s="3"/>
    </row>
    <row r="69" spans="1:19" x14ac:dyDescent="0.2">
      <c r="A69">
        <v>39</v>
      </c>
      <c r="C69" s="9">
        <f t="shared" si="9"/>
        <v>25</v>
      </c>
      <c r="D69" s="9">
        <f t="shared" si="10"/>
        <v>25</v>
      </c>
      <c r="E69" s="9">
        <f>HLOOKUP($E$12,'Combined WACOC-Tax Table'!$B$17:$E$58,A69+1)*$B$30</f>
        <v>0</v>
      </c>
      <c r="F69" s="9">
        <f t="shared" si="11"/>
        <v>-1.2434497875801753E-13</v>
      </c>
      <c r="G69" s="9">
        <f t="shared" si="4"/>
        <v>-6.2067492500000006</v>
      </c>
      <c r="H69" s="9">
        <f t="shared" si="12"/>
        <v>6.2067492499999455</v>
      </c>
      <c r="I69" s="9">
        <f t="shared" si="15"/>
        <v>25</v>
      </c>
      <c r="J69" s="9">
        <f>'Combined WACOC-Tax Table'!$D$10*I69</f>
        <v>1.6000982741339324E-2</v>
      </c>
      <c r="K69" s="9">
        <f>I69*('Combined WACOC-Tax Table'!$D$11+'Combined WACOC-Tax Table'!$D$12)</f>
        <v>1.7041874814894029</v>
      </c>
      <c r="L69" s="9">
        <f t="shared" si="5"/>
        <v>7.97884721759025E-2</v>
      </c>
      <c r="M69" s="9">
        <f t="shared" si="6"/>
        <v>0.56283314224356529</v>
      </c>
      <c r="N69" s="29">
        <f t="shared" si="14"/>
        <v>27.36281007865021</v>
      </c>
      <c r="O69" s="26">
        <f>1/(1+'Combined WACOC-Tax Table'!$F$13)^A69</f>
        <v>8.847294113204196E-2</v>
      </c>
      <c r="P69" s="18">
        <f t="shared" si="3"/>
        <v>2.4208682852956644</v>
      </c>
      <c r="Q69" s="9">
        <f t="shared" si="7"/>
        <v>1192.0783145352416</v>
      </c>
      <c r="R69" s="6">
        <f t="shared" si="8"/>
        <v>2.7362810078650209E-2</v>
      </c>
      <c r="S69" s="3"/>
    </row>
    <row r="70" spans="1:19" x14ac:dyDescent="0.2">
      <c r="A70">
        <v>40</v>
      </c>
      <c r="C70" s="9">
        <f t="shared" si="9"/>
        <v>25</v>
      </c>
      <c r="D70" s="9">
        <f t="shared" si="10"/>
        <v>0</v>
      </c>
      <c r="E70" s="9">
        <f>HLOOKUP($E$12,'Combined WACOC-Tax Table'!$B$17:$E$58,A70+1)*$B$30</f>
        <v>0</v>
      </c>
      <c r="F70" s="9">
        <f t="shared" si="11"/>
        <v>-1.2434497875801753E-13</v>
      </c>
      <c r="G70" s="9">
        <f t="shared" si="4"/>
        <v>-6.2067492500000006</v>
      </c>
      <c r="H70" s="9">
        <f t="shared" si="12"/>
        <v>-5.5067062021407764E-14</v>
      </c>
      <c r="I70" s="9">
        <f t="shared" si="15"/>
        <v>0</v>
      </c>
      <c r="J70" s="9">
        <f>'Combined WACOC-Tax Table'!$D$10*I70</f>
        <v>0</v>
      </c>
      <c r="K70" s="9">
        <f>I70*('Combined WACOC-Tax Table'!$D$11+'Combined WACOC-Tax Table'!$D$12)</f>
        <v>0</v>
      </c>
      <c r="L70" s="9">
        <f t="shared" si="5"/>
        <v>0</v>
      </c>
      <c r="M70" s="9">
        <f t="shared" si="6"/>
        <v>0</v>
      </c>
      <c r="N70" s="29">
        <f t="shared" si="14"/>
        <v>25</v>
      </c>
      <c r="O70" s="26">
        <f>1/(1+'Combined WACOC-Tax Table'!$F$13)^A70</f>
        <v>8.313915478079914E-2</v>
      </c>
      <c r="P70" s="18">
        <f t="shared" si="3"/>
        <v>2.0784788695199783</v>
      </c>
      <c r="Q70" s="9">
        <f t="shared" si="7"/>
        <v>1194.1567934047616</v>
      </c>
      <c r="R70" s="6">
        <f t="shared" si="8"/>
        <v>2.5000000000000001E-2</v>
      </c>
      <c r="S70" s="3"/>
    </row>
    <row r="72" spans="1:19" x14ac:dyDescent="0.2">
      <c r="I72" s="28" t="s">
        <v>47</v>
      </c>
      <c r="N72" s="15"/>
      <c r="P72" s="15">
        <f>SUM(P31:P71)</f>
        <v>1194.1567934047616</v>
      </c>
      <c r="Q72" s="15"/>
    </row>
    <row r="87" spans="9:16" x14ac:dyDescent="0.2">
      <c r="I87" s="28"/>
      <c r="P87" s="15"/>
    </row>
  </sheetData>
  <pageMargins left="0.75" right="0.75" top="0.66" bottom="0.89" header="0.5" footer="0.39"/>
  <pageSetup scale="74" fitToWidth="2" orientation="portrait" r:id="rId1"/>
  <headerFooter scaleWithDoc="0" alignWithMargins="0">
    <evenFooter xml:space="preserve">&amp;R&amp;12
</evenFooter>
    <firstFooter>&amp;R&amp;12Attachment 1
Page &amp;P of &amp;N</firstFooter>
  </headerFooter>
  <colBreaks count="1" manualBreakCount="1">
    <brk id="8" max="71" man="1"/>
  </colBreaks>
  <ignoredErrors>
    <ignoredError sqref="E32:E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P54"/>
  <sheetViews>
    <sheetView zoomScaleNormal="100" zoomScaleSheetLayoutView="100" workbookViewId="0"/>
  </sheetViews>
  <sheetFormatPr defaultRowHeight="12.75" x14ac:dyDescent="0.2"/>
  <cols>
    <col min="1" max="1" width="18.5703125" customWidth="1"/>
    <col min="2" max="2" width="13.140625" customWidth="1"/>
    <col min="5" max="5" width="12.5703125" customWidth="1"/>
    <col min="6" max="6" width="10.28515625" customWidth="1"/>
  </cols>
  <sheetData>
    <row r="1" spans="1:16" ht="15" x14ac:dyDescent="0.25">
      <c r="A1" s="14" t="s">
        <v>50</v>
      </c>
      <c r="G1" s="75" t="s">
        <v>84</v>
      </c>
      <c r="P1" s="75"/>
    </row>
    <row r="2" spans="1:16" ht="15" x14ac:dyDescent="0.25">
      <c r="A2" s="2" t="s">
        <v>48</v>
      </c>
      <c r="G2" s="75" t="s">
        <v>88</v>
      </c>
      <c r="P2" s="75"/>
    </row>
    <row r="3" spans="1:16" x14ac:dyDescent="0.2">
      <c r="A3" s="2"/>
      <c r="G3" s="24"/>
    </row>
    <row r="4" spans="1:16" x14ac:dyDescent="0.2">
      <c r="F4" s="24"/>
    </row>
    <row r="7" spans="1:16" x14ac:dyDescent="0.2">
      <c r="A7" s="14" t="s">
        <v>12</v>
      </c>
    </row>
    <row r="8" spans="1:16" x14ac:dyDescent="0.2">
      <c r="B8" s="14"/>
      <c r="C8" s="14"/>
      <c r="D8" s="13" t="s">
        <v>11</v>
      </c>
      <c r="F8" s="13" t="s">
        <v>10</v>
      </c>
    </row>
    <row r="9" spans="1:16" x14ac:dyDescent="0.2">
      <c r="B9" s="12" t="s">
        <v>9</v>
      </c>
      <c r="C9" s="12" t="s">
        <v>6</v>
      </c>
      <c r="D9" s="12" t="s">
        <v>8</v>
      </c>
      <c r="E9" s="12" t="s">
        <v>7</v>
      </c>
      <c r="F9" s="11" t="s">
        <v>6</v>
      </c>
    </row>
    <row r="10" spans="1:16" x14ac:dyDescent="0.2">
      <c r="A10" t="s">
        <v>54</v>
      </c>
      <c r="B10" s="6">
        <v>2.4549999999999999E-2</v>
      </c>
      <c r="C10" s="6">
        <v>4.5999999999999999E-3</v>
      </c>
      <c r="D10" s="6">
        <f>C10*B10</f>
        <v>1.1292999999999999E-4</v>
      </c>
      <c r="E10" s="34">
        <v>0.24826997000000001</v>
      </c>
      <c r="F10" s="55">
        <f>D10*(1-E10)</f>
        <v>8.4892872287900005E-5</v>
      </c>
    </row>
    <row r="11" spans="1:16" x14ac:dyDescent="0.2">
      <c r="A11" t="s">
        <v>55</v>
      </c>
      <c r="B11" s="6">
        <v>0.44407000000000002</v>
      </c>
      <c r="C11" s="6">
        <v>4.0399999999999998E-2</v>
      </c>
      <c r="D11" s="6">
        <f>B11*C11</f>
        <v>1.7940428000000001E-2</v>
      </c>
      <c r="E11" s="34">
        <f>E10</f>
        <v>0.24826997000000001</v>
      </c>
      <c r="F11" s="6">
        <f>D11*(1-E11)</f>
        <v>1.3486358478652842E-2</v>
      </c>
    </row>
    <row r="12" spans="1:16" ht="15" x14ac:dyDescent="0.25">
      <c r="A12" t="s">
        <v>5</v>
      </c>
      <c r="B12" s="8">
        <v>0.53137000000000001</v>
      </c>
      <c r="C12" s="77">
        <v>9.425E-2</v>
      </c>
      <c r="D12" s="8">
        <f>B12*C12</f>
        <v>5.0081622499999999E-2</v>
      </c>
      <c r="E12" s="34"/>
      <c r="F12" s="7">
        <f>D12/(1-E12)</f>
        <v>5.0081622499999999E-2</v>
      </c>
    </row>
    <row r="13" spans="1:16" x14ac:dyDescent="0.2">
      <c r="D13" s="3">
        <f>SUM(D10:D12)</f>
        <v>6.8134980499999998E-2</v>
      </c>
      <c r="F13" s="3">
        <f>SUM(F10:F12)</f>
        <v>6.3652873850940733E-2</v>
      </c>
    </row>
    <row r="15" spans="1:16" x14ac:dyDescent="0.2">
      <c r="B15" s="78" t="s">
        <v>4</v>
      </c>
      <c r="C15" s="78"/>
      <c r="D15" s="78"/>
      <c r="E15" s="78"/>
    </row>
    <row r="17" spans="1:6" x14ac:dyDescent="0.2">
      <c r="B17">
        <v>5</v>
      </c>
      <c r="D17">
        <v>15</v>
      </c>
      <c r="E17">
        <v>20</v>
      </c>
    </row>
    <row r="18" spans="1:6" x14ac:dyDescent="0.2">
      <c r="A18">
        <v>1</v>
      </c>
      <c r="B18" s="5">
        <v>0.2</v>
      </c>
      <c r="C18" s="5">
        <v>0.1</v>
      </c>
      <c r="D18" s="5">
        <v>0.05</v>
      </c>
      <c r="E18" s="5">
        <v>3.7499999999999999E-2</v>
      </c>
      <c r="F18" s="6"/>
    </row>
    <row r="19" spans="1:6" x14ac:dyDescent="0.2">
      <c r="A19">
        <v>2</v>
      </c>
      <c r="B19" s="5">
        <v>0.32</v>
      </c>
      <c r="C19" s="5">
        <v>0.18</v>
      </c>
      <c r="D19" s="5">
        <v>9.5000000000000001E-2</v>
      </c>
      <c r="E19" s="5">
        <v>7.2190000000000004E-2</v>
      </c>
      <c r="F19" s="6"/>
    </row>
    <row r="20" spans="1:6" x14ac:dyDescent="0.2">
      <c r="A20">
        <v>3</v>
      </c>
      <c r="B20" s="5">
        <v>0.192</v>
      </c>
      <c r="C20" s="5">
        <v>0.14399999999999999</v>
      </c>
      <c r="D20" s="5">
        <v>8.5500000000000007E-2</v>
      </c>
      <c r="E20" s="5">
        <v>6.6769999999999996E-2</v>
      </c>
      <c r="F20" s="6"/>
    </row>
    <row r="21" spans="1:6" x14ac:dyDescent="0.2">
      <c r="A21">
        <v>4</v>
      </c>
      <c r="B21" s="5">
        <v>0.1152</v>
      </c>
      <c r="C21" s="5">
        <v>0.1152</v>
      </c>
      <c r="D21" s="5">
        <v>7.6999999999999999E-2</v>
      </c>
      <c r="E21" s="5">
        <v>6.1769999999999999E-2</v>
      </c>
      <c r="F21" s="6"/>
    </row>
    <row r="22" spans="1:6" x14ac:dyDescent="0.2">
      <c r="A22">
        <v>5</v>
      </c>
      <c r="B22" s="5">
        <v>0.1152</v>
      </c>
      <c r="C22" s="5">
        <v>9.2200000000000004E-2</v>
      </c>
      <c r="D22" s="5">
        <v>6.93E-2</v>
      </c>
      <c r="E22" s="5">
        <v>5.713E-2</v>
      </c>
      <c r="F22" s="6"/>
    </row>
    <row r="23" spans="1:6" x14ac:dyDescent="0.2">
      <c r="A23">
        <v>6</v>
      </c>
      <c r="B23" s="5">
        <v>0</v>
      </c>
      <c r="C23" s="5">
        <v>7.3700000000000002E-2</v>
      </c>
      <c r="D23" s="5">
        <v>6.2300000000000001E-2</v>
      </c>
      <c r="E23" s="5">
        <v>5.2850000000000001E-2</v>
      </c>
      <c r="F23" s="6"/>
    </row>
    <row r="24" spans="1:6" x14ac:dyDescent="0.2">
      <c r="A24">
        <v>7</v>
      </c>
      <c r="B24" s="5">
        <v>0</v>
      </c>
      <c r="C24" s="5">
        <v>6.5500000000000003E-2</v>
      </c>
      <c r="D24" s="5">
        <v>5.8999999999999997E-2</v>
      </c>
      <c r="E24" s="5">
        <v>4.888E-2</v>
      </c>
      <c r="F24" s="6"/>
    </row>
    <row r="25" spans="1:6" x14ac:dyDescent="0.2">
      <c r="A25">
        <v>8</v>
      </c>
      <c r="B25" s="5">
        <v>0</v>
      </c>
      <c r="C25" s="5">
        <v>6.5500000000000003E-2</v>
      </c>
      <c r="D25" s="5">
        <v>5.8999999999999997E-2</v>
      </c>
      <c r="E25" s="5">
        <v>4.5220000000000003E-2</v>
      </c>
      <c r="F25" s="6"/>
    </row>
    <row r="26" spans="1:6" x14ac:dyDescent="0.2">
      <c r="A26">
        <v>9</v>
      </c>
      <c r="B26" s="5">
        <v>0</v>
      </c>
      <c r="C26" s="5">
        <v>6.5600000000000006E-2</v>
      </c>
      <c r="D26" s="5">
        <v>5.91E-2</v>
      </c>
      <c r="E26" s="5">
        <v>4.462E-2</v>
      </c>
      <c r="F26" s="6"/>
    </row>
    <row r="27" spans="1:6" x14ac:dyDescent="0.2">
      <c r="A27">
        <v>10</v>
      </c>
      <c r="B27" s="5">
        <v>0</v>
      </c>
      <c r="C27" s="5">
        <v>6.5500000000000003E-2</v>
      </c>
      <c r="D27" s="5">
        <v>5.8999999999999997E-2</v>
      </c>
      <c r="E27" s="5">
        <v>4.4609999999999997E-2</v>
      </c>
      <c r="F27" s="6"/>
    </row>
    <row r="28" spans="1:6" x14ac:dyDescent="0.2">
      <c r="A28">
        <v>11</v>
      </c>
      <c r="B28" s="5">
        <v>0</v>
      </c>
      <c r="C28" s="5">
        <v>0</v>
      </c>
      <c r="D28" s="5">
        <v>5.91E-2</v>
      </c>
      <c r="E28" s="5">
        <v>4.462E-2</v>
      </c>
      <c r="F28" s="6"/>
    </row>
    <row r="29" spans="1:6" x14ac:dyDescent="0.2">
      <c r="A29">
        <v>12</v>
      </c>
      <c r="B29" s="5">
        <v>0</v>
      </c>
      <c r="C29" s="5">
        <v>0</v>
      </c>
      <c r="D29" s="5">
        <v>5.8999999999999997E-2</v>
      </c>
      <c r="E29" s="5">
        <v>4.4609999999999997E-2</v>
      </c>
      <c r="F29" s="6"/>
    </row>
    <row r="30" spans="1:6" x14ac:dyDescent="0.2">
      <c r="A30">
        <v>13</v>
      </c>
      <c r="B30" s="5">
        <v>0</v>
      </c>
      <c r="C30" s="5">
        <v>0</v>
      </c>
      <c r="D30" s="5">
        <v>5.91E-2</v>
      </c>
      <c r="E30" s="5">
        <v>4.462E-2</v>
      </c>
      <c r="F30" s="6"/>
    </row>
    <row r="31" spans="1:6" x14ac:dyDescent="0.2">
      <c r="A31">
        <v>14</v>
      </c>
      <c r="B31" s="5">
        <v>0</v>
      </c>
      <c r="C31" s="5">
        <v>0</v>
      </c>
      <c r="D31" s="5">
        <v>5.8999999999999997E-2</v>
      </c>
      <c r="E31" s="5">
        <v>4.4609999999999997E-2</v>
      </c>
      <c r="F31" s="6"/>
    </row>
    <row r="32" spans="1:6" x14ac:dyDescent="0.2">
      <c r="A32">
        <v>15</v>
      </c>
      <c r="B32" s="5">
        <v>0</v>
      </c>
      <c r="C32" s="5">
        <v>0</v>
      </c>
      <c r="D32" s="5">
        <v>5.91E-2</v>
      </c>
      <c r="E32" s="5">
        <v>4.462E-2</v>
      </c>
      <c r="F32" s="6"/>
    </row>
    <row r="33" spans="1:6" x14ac:dyDescent="0.2">
      <c r="A33">
        <v>16</v>
      </c>
      <c r="B33" s="5">
        <v>0</v>
      </c>
      <c r="C33" s="5">
        <v>0</v>
      </c>
      <c r="D33" s="5">
        <v>2.9499999999999998E-2</v>
      </c>
      <c r="E33" s="5">
        <v>4.4609999999999997E-2</v>
      </c>
      <c r="F33" s="6"/>
    </row>
    <row r="34" spans="1:6" x14ac:dyDescent="0.2">
      <c r="A34">
        <v>17</v>
      </c>
      <c r="B34" s="5">
        <v>0</v>
      </c>
      <c r="C34" s="5">
        <v>0</v>
      </c>
      <c r="D34" s="5">
        <v>0</v>
      </c>
      <c r="E34" s="5">
        <v>4.462E-2</v>
      </c>
      <c r="F34" s="6"/>
    </row>
    <row r="35" spans="1:6" x14ac:dyDescent="0.2">
      <c r="A35">
        <v>18</v>
      </c>
      <c r="B35" s="5">
        <v>0</v>
      </c>
      <c r="C35" s="5">
        <v>0</v>
      </c>
      <c r="D35" s="5">
        <v>0</v>
      </c>
      <c r="E35" s="5">
        <v>4.4609999999999997E-2</v>
      </c>
      <c r="F35" s="6"/>
    </row>
    <row r="36" spans="1:6" x14ac:dyDescent="0.2">
      <c r="A36">
        <v>19</v>
      </c>
      <c r="B36" s="5">
        <v>0</v>
      </c>
      <c r="C36" s="5">
        <v>0</v>
      </c>
      <c r="D36" s="5">
        <v>0</v>
      </c>
      <c r="E36" s="5">
        <v>4.462E-2</v>
      </c>
      <c r="F36" s="6"/>
    </row>
    <row r="37" spans="1:6" x14ac:dyDescent="0.2">
      <c r="A37">
        <v>20</v>
      </c>
      <c r="B37" s="5">
        <v>0</v>
      </c>
      <c r="C37" s="5">
        <v>0</v>
      </c>
      <c r="D37" s="5">
        <v>0</v>
      </c>
      <c r="E37" s="5">
        <v>4.4609999999999997E-2</v>
      </c>
      <c r="F37" s="6"/>
    </row>
    <row r="38" spans="1:6" x14ac:dyDescent="0.2">
      <c r="A38">
        <v>21</v>
      </c>
      <c r="B38" s="5">
        <v>0</v>
      </c>
      <c r="C38" s="5">
        <v>0</v>
      </c>
      <c r="D38" s="5">
        <v>0</v>
      </c>
      <c r="E38" s="5">
        <v>2.231E-2</v>
      </c>
      <c r="F38" s="6"/>
    </row>
    <row r="39" spans="1:6" x14ac:dyDescent="0.2">
      <c r="A39">
        <v>22</v>
      </c>
      <c r="B39" s="5">
        <v>0</v>
      </c>
      <c r="C39" s="5">
        <v>0</v>
      </c>
      <c r="D39" s="5">
        <v>0</v>
      </c>
      <c r="E39" s="5">
        <v>0</v>
      </c>
    </row>
    <row r="40" spans="1:6" x14ac:dyDescent="0.2">
      <c r="A40">
        <v>23</v>
      </c>
      <c r="B40" s="5">
        <v>0</v>
      </c>
      <c r="C40" s="5">
        <v>0</v>
      </c>
      <c r="D40" s="5">
        <v>0</v>
      </c>
      <c r="E40" s="5">
        <v>0</v>
      </c>
    </row>
    <row r="41" spans="1:6" x14ac:dyDescent="0.2">
      <c r="A41">
        <v>24</v>
      </c>
      <c r="B41" s="5">
        <v>0</v>
      </c>
      <c r="C41" s="5">
        <v>0</v>
      </c>
      <c r="D41" s="5">
        <v>0</v>
      </c>
      <c r="E41" s="5">
        <v>0</v>
      </c>
    </row>
    <row r="42" spans="1:6" x14ac:dyDescent="0.2">
      <c r="A42">
        <v>25</v>
      </c>
      <c r="B42" s="5">
        <v>0</v>
      </c>
      <c r="C42" s="5">
        <v>0</v>
      </c>
      <c r="D42" s="5">
        <v>0</v>
      </c>
      <c r="E42" s="5">
        <v>0</v>
      </c>
    </row>
    <row r="43" spans="1:6" x14ac:dyDescent="0.2">
      <c r="A43">
        <v>26</v>
      </c>
      <c r="B43" s="5">
        <v>0</v>
      </c>
      <c r="C43" s="5">
        <v>0</v>
      </c>
      <c r="D43" s="5">
        <v>0</v>
      </c>
      <c r="E43" s="5">
        <v>0</v>
      </c>
    </row>
    <row r="44" spans="1:6" x14ac:dyDescent="0.2">
      <c r="A44">
        <v>27</v>
      </c>
      <c r="B44" s="5">
        <v>0</v>
      </c>
      <c r="C44" s="5">
        <v>0</v>
      </c>
      <c r="D44" s="5">
        <v>0</v>
      </c>
      <c r="E44" s="5">
        <v>0</v>
      </c>
    </row>
    <row r="45" spans="1:6" x14ac:dyDescent="0.2">
      <c r="A45">
        <v>28</v>
      </c>
      <c r="B45" s="5">
        <v>0</v>
      </c>
      <c r="C45" s="5">
        <v>0</v>
      </c>
      <c r="D45" s="5">
        <v>0</v>
      </c>
      <c r="E45" s="5">
        <v>0</v>
      </c>
    </row>
    <row r="46" spans="1:6" x14ac:dyDescent="0.2">
      <c r="A46">
        <v>29</v>
      </c>
      <c r="B46" s="5">
        <v>0</v>
      </c>
      <c r="C46" s="5">
        <v>0</v>
      </c>
      <c r="D46" s="5">
        <v>0</v>
      </c>
      <c r="E46" s="5">
        <v>0</v>
      </c>
    </row>
    <row r="47" spans="1:6" x14ac:dyDescent="0.2">
      <c r="A47">
        <v>30</v>
      </c>
      <c r="B47" s="5">
        <v>0</v>
      </c>
      <c r="C47" s="5">
        <v>0</v>
      </c>
      <c r="D47" s="5">
        <v>0</v>
      </c>
      <c r="E47" s="5">
        <v>0</v>
      </c>
    </row>
    <row r="48" spans="1:6" x14ac:dyDescent="0.2">
      <c r="B48" s="5"/>
      <c r="C48" s="5"/>
      <c r="D48" s="5"/>
      <c r="E48" s="5"/>
    </row>
    <row r="49" spans="2:7" x14ac:dyDescent="0.2">
      <c r="B49" s="5"/>
      <c r="C49" s="5"/>
      <c r="D49" s="5"/>
      <c r="E49" s="5"/>
    </row>
    <row r="53" spans="2:7" x14ac:dyDescent="0.2">
      <c r="G53" s="25"/>
    </row>
    <row r="54" spans="2:7" x14ac:dyDescent="0.2">
      <c r="G54" s="25"/>
    </row>
  </sheetData>
  <dataConsolidate/>
  <mergeCells count="1">
    <mergeCell ref="B15:E15"/>
  </mergeCells>
  <pageMargins left="0.75" right="0.75" top="0.66" bottom="0.89" header="0.5" footer="0.39"/>
  <pageSetup orientation="portrait" r:id="rId1"/>
  <headerFooter scaleWithDoc="0" alignWithMargins="0">
    <evenFooter xml:space="preserve">&amp;R&amp;12
</evenFooter>
    <firstFooter>&amp;R&amp;12Attachment 1
Page &amp;P of 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U89"/>
  <sheetViews>
    <sheetView zoomScaleNormal="100" workbookViewId="0"/>
  </sheetViews>
  <sheetFormatPr defaultRowHeight="12.75" x14ac:dyDescent="0.2"/>
  <cols>
    <col min="1" max="1" width="9.28515625" bestFit="1" customWidth="1"/>
    <col min="2" max="2" width="14.140625" customWidth="1"/>
    <col min="3" max="3" width="13.5703125" customWidth="1"/>
    <col min="4" max="4" width="14.42578125" bestFit="1" customWidth="1"/>
    <col min="5" max="5" width="16.28515625" customWidth="1"/>
    <col min="6" max="6" width="14.42578125" bestFit="1" customWidth="1"/>
    <col min="7" max="7" width="12.85546875" customWidth="1"/>
    <col min="8" max="8" width="14" customWidth="1"/>
    <col min="9" max="9" width="13.140625" customWidth="1"/>
    <col min="10" max="10" width="12.85546875" customWidth="1"/>
    <col min="11" max="11" width="12.140625" customWidth="1"/>
    <col min="12" max="12" width="13.85546875" bestFit="1" customWidth="1"/>
    <col min="13" max="13" width="14.140625" bestFit="1" customWidth="1"/>
    <col min="14" max="14" width="14.28515625" customWidth="1"/>
    <col min="15" max="15" width="12" customWidth="1"/>
    <col min="16" max="16" width="16.28515625" bestFit="1" customWidth="1"/>
    <col min="17" max="17" width="15" customWidth="1"/>
    <col min="18" max="18" width="9.28515625" bestFit="1" customWidth="1"/>
    <col min="21" max="21" width="10.42578125" bestFit="1" customWidth="1"/>
  </cols>
  <sheetData>
    <row r="1" spans="2:21" ht="15" x14ac:dyDescent="0.25">
      <c r="H1" s="75" t="s">
        <v>84</v>
      </c>
      <c r="P1" s="75" t="s">
        <v>84</v>
      </c>
    </row>
    <row r="2" spans="2:21" ht="15" x14ac:dyDescent="0.25">
      <c r="H2" s="75" t="s">
        <v>85</v>
      </c>
      <c r="P2" s="75" t="s">
        <v>89</v>
      </c>
    </row>
    <row r="3" spans="2:21" ht="15" x14ac:dyDescent="0.2">
      <c r="B3" s="14" t="s">
        <v>49</v>
      </c>
      <c r="H3" s="23"/>
      <c r="I3" s="14" t="str">
        <f>B3</f>
        <v>Louisville Gas &amp; Electric</v>
      </c>
      <c r="P3" s="23"/>
      <c r="Q3" s="14" t="str">
        <f>B3</f>
        <v>Louisville Gas &amp; Electric</v>
      </c>
    </row>
    <row r="4" spans="2:21" x14ac:dyDescent="0.2">
      <c r="B4" s="37" t="s">
        <v>72</v>
      </c>
      <c r="H4" s="4"/>
      <c r="I4" s="2" t="str">
        <f>B4</f>
        <v>Carrying Charge Calculation</v>
      </c>
      <c r="P4" s="4"/>
      <c r="Q4" s="2" t="str">
        <f>B4</f>
        <v>Carrying Charge Calculation</v>
      </c>
    </row>
    <row r="5" spans="2:21" x14ac:dyDescent="0.2">
      <c r="B5" s="2"/>
      <c r="H5" s="24"/>
      <c r="I5" s="2"/>
      <c r="P5" s="24"/>
      <c r="Q5" s="2">
        <f>B5</f>
        <v>0</v>
      </c>
    </row>
    <row r="6" spans="2:21" x14ac:dyDescent="0.2">
      <c r="B6" s="14"/>
      <c r="H6" s="24"/>
      <c r="I6" s="14"/>
      <c r="P6" s="24"/>
    </row>
    <row r="9" spans="2:21" x14ac:dyDescent="0.2">
      <c r="B9" s="14" t="s">
        <v>43</v>
      </c>
      <c r="E9" s="37"/>
      <c r="I9" s="14" t="s">
        <v>43</v>
      </c>
      <c r="Q9" s="14" t="s">
        <v>43</v>
      </c>
    </row>
    <row r="10" spans="2:21" x14ac:dyDescent="0.2">
      <c r="B10" s="21" t="s">
        <v>42</v>
      </c>
      <c r="E10" s="30">
        <v>1000</v>
      </c>
      <c r="I10" s="21" t="s">
        <v>42</v>
      </c>
      <c r="L10" s="10">
        <f t="shared" ref="L10:L15" si="0">E10</f>
        <v>1000</v>
      </c>
      <c r="N10" s="10"/>
      <c r="Q10" s="21" t="s">
        <v>42</v>
      </c>
      <c r="U10" s="10">
        <f t="shared" ref="U10:U15" si="1">E10</f>
        <v>1000</v>
      </c>
    </row>
    <row r="11" spans="2:21" x14ac:dyDescent="0.2">
      <c r="B11" s="21" t="s">
        <v>41</v>
      </c>
      <c r="E11">
        <v>40</v>
      </c>
      <c r="I11" s="21" t="s">
        <v>41</v>
      </c>
      <c r="L11">
        <f t="shared" si="0"/>
        <v>40</v>
      </c>
      <c r="Q11" s="21" t="s">
        <v>41</v>
      </c>
      <c r="U11">
        <f t="shared" si="1"/>
        <v>40</v>
      </c>
    </row>
    <row r="12" spans="2:21" x14ac:dyDescent="0.2">
      <c r="B12" s="21" t="s">
        <v>40</v>
      </c>
      <c r="C12" s="55">
        <v>9.425E-2</v>
      </c>
      <c r="E12">
        <v>20</v>
      </c>
      <c r="I12" s="21" t="s">
        <v>40</v>
      </c>
      <c r="L12">
        <f t="shared" si="0"/>
        <v>20</v>
      </c>
      <c r="Q12" s="21" t="s">
        <v>40</v>
      </c>
      <c r="U12">
        <f t="shared" si="1"/>
        <v>20</v>
      </c>
    </row>
    <row r="13" spans="2:21" x14ac:dyDescent="0.2">
      <c r="B13" s="21" t="s">
        <v>39</v>
      </c>
      <c r="E13" s="32">
        <f>'LGE WACOC-Tax Table'!E12</f>
        <v>0.24849452</v>
      </c>
      <c r="I13" s="21" t="s">
        <v>39</v>
      </c>
      <c r="N13" s="22"/>
      <c r="Q13" s="21" t="s">
        <v>39</v>
      </c>
      <c r="U13" s="22">
        <f t="shared" si="1"/>
        <v>0.24849452</v>
      </c>
    </row>
    <row r="14" spans="2:21" x14ac:dyDescent="0.2">
      <c r="B14" s="21" t="s">
        <v>38</v>
      </c>
      <c r="E14" s="33">
        <f>36449135/6224634888</f>
        <v>5.8556261782144866E-3</v>
      </c>
      <c r="I14" s="21" t="s">
        <v>38</v>
      </c>
      <c r="N14" s="6"/>
      <c r="Q14" s="21" t="s">
        <v>38</v>
      </c>
      <c r="U14" s="6">
        <f t="shared" si="1"/>
        <v>5.8556261782144866E-3</v>
      </c>
    </row>
    <row r="15" spans="2:21" x14ac:dyDescent="0.2">
      <c r="B15" s="21" t="s">
        <v>37</v>
      </c>
      <c r="E15">
        <f>E11</f>
        <v>40</v>
      </c>
      <c r="I15" s="21" t="s">
        <v>37</v>
      </c>
      <c r="L15">
        <f t="shared" si="0"/>
        <v>40</v>
      </c>
      <c r="Q15" s="21" t="s">
        <v>37</v>
      </c>
      <c r="U15">
        <f t="shared" si="1"/>
        <v>40</v>
      </c>
    </row>
    <row r="16" spans="2:21" x14ac:dyDescent="0.2">
      <c r="B16" s="21"/>
      <c r="I16" s="21"/>
      <c r="Q16" s="21"/>
    </row>
    <row r="17" spans="1:21" x14ac:dyDescent="0.2">
      <c r="B17" s="21"/>
      <c r="I17" s="21"/>
      <c r="Q17" s="21"/>
    </row>
    <row r="19" spans="1:21" x14ac:dyDescent="0.2">
      <c r="B19" s="14" t="s">
        <v>36</v>
      </c>
      <c r="E19" s="13" t="s">
        <v>70</v>
      </c>
      <c r="F19" s="13" t="s">
        <v>71</v>
      </c>
      <c r="I19" s="14" t="s">
        <v>36</v>
      </c>
      <c r="Q19" s="14" t="s">
        <v>36</v>
      </c>
    </row>
    <row r="20" spans="1:21" x14ac:dyDescent="0.2">
      <c r="B20" s="21" t="s">
        <v>35</v>
      </c>
      <c r="E20" s="57">
        <f>P74</f>
        <v>1220.0644999777296</v>
      </c>
      <c r="F20" s="57">
        <f>E20</f>
        <v>1220.0644999777296</v>
      </c>
      <c r="I20" s="21" t="s">
        <v>35</v>
      </c>
      <c r="L20" s="57">
        <f t="shared" ref="L20:M22" si="2">E20</f>
        <v>1220.0644999777296</v>
      </c>
      <c r="M20" s="57">
        <f t="shared" si="2"/>
        <v>1220.0644999777296</v>
      </c>
      <c r="N20" s="15"/>
      <c r="Q20" s="21" t="s">
        <v>35</v>
      </c>
      <c r="U20" s="15">
        <f>E20</f>
        <v>1220.0644999777296</v>
      </c>
    </row>
    <row r="21" spans="1:21" x14ac:dyDescent="0.2">
      <c r="B21" s="21" t="s">
        <v>34</v>
      </c>
      <c r="E21" s="57">
        <f>PMT('Combined WACOC-Tax Table'!D13,E15,P74)*-1</f>
        <v>90.251578150841823</v>
      </c>
      <c r="F21" s="57">
        <f t="shared" ref="F21:F22" si="3">E21</f>
        <v>90.251578150841823</v>
      </c>
      <c r="I21" s="21" t="s">
        <v>34</v>
      </c>
      <c r="L21" s="57">
        <f t="shared" si="2"/>
        <v>90.251578150841823</v>
      </c>
      <c r="M21" s="57">
        <f t="shared" si="2"/>
        <v>90.251578150841823</v>
      </c>
      <c r="N21" s="17"/>
      <c r="Q21" s="21" t="s">
        <v>34</v>
      </c>
      <c r="U21" s="15">
        <f>E21</f>
        <v>90.251578150841823</v>
      </c>
    </row>
    <row r="22" spans="1:21" x14ac:dyDescent="0.2">
      <c r="B22" s="21" t="s">
        <v>33</v>
      </c>
      <c r="E22" s="6">
        <f>E21/E10</f>
        <v>9.0251578150841824E-2</v>
      </c>
      <c r="F22" s="6">
        <f t="shared" si="3"/>
        <v>9.0251578150841824E-2</v>
      </c>
      <c r="I22" s="21" t="s">
        <v>33</v>
      </c>
      <c r="L22" s="55">
        <f t="shared" si="2"/>
        <v>9.0251578150841824E-2</v>
      </c>
      <c r="M22" s="55">
        <f t="shared" si="2"/>
        <v>9.0251578150841824E-2</v>
      </c>
      <c r="N22" s="6"/>
      <c r="Q22" s="21" t="s">
        <v>33</v>
      </c>
      <c r="U22" s="6">
        <f>E22</f>
        <v>9.0251578150841824E-2</v>
      </c>
    </row>
    <row r="23" spans="1:21" x14ac:dyDescent="0.2">
      <c r="B23" s="58" t="s">
        <v>73</v>
      </c>
      <c r="E23" s="55">
        <f>27773573/566296585</f>
        <v>4.9044217704403072E-2</v>
      </c>
      <c r="F23" s="55">
        <f>21160535/1786682455</f>
        <v>1.184347836448643E-2</v>
      </c>
      <c r="I23" s="58" t="s">
        <v>68</v>
      </c>
      <c r="L23" s="55">
        <f t="shared" ref="L23:L24" si="4">E23</f>
        <v>4.9044217704403072E-2</v>
      </c>
      <c r="M23" s="55">
        <f t="shared" ref="M23:M24" si="5">F23</f>
        <v>1.184347836448643E-2</v>
      </c>
      <c r="N23" s="20"/>
    </row>
    <row r="24" spans="1:21" x14ac:dyDescent="0.2">
      <c r="B24" s="59" t="s">
        <v>69</v>
      </c>
      <c r="C24" s="20"/>
      <c r="E24" s="3">
        <f>E22+E23</f>
        <v>0.1392957958552449</v>
      </c>
      <c r="F24" s="3">
        <f>F22+F23</f>
        <v>0.10209505651532826</v>
      </c>
      <c r="I24" s="59" t="s">
        <v>69</v>
      </c>
      <c r="L24" s="55">
        <f t="shared" si="4"/>
        <v>0.1392957958552449</v>
      </c>
      <c r="M24" s="55">
        <f t="shared" si="5"/>
        <v>0.10209505651532826</v>
      </c>
    </row>
    <row r="25" spans="1:21" x14ac:dyDescent="0.2">
      <c r="C25" s="20"/>
    </row>
    <row r="26" spans="1:2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13"/>
      <c r="P26" s="4"/>
      <c r="Q26" s="13" t="s">
        <v>0</v>
      </c>
      <c r="R26" s="4"/>
    </row>
    <row r="27" spans="1:21" x14ac:dyDescent="0.2">
      <c r="A27" s="4"/>
      <c r="B27" s="4"/>
      <c r="C27" s="4"/>
      <c r="D27" s="4"/>
      <c r="E27" s="4"/>
      <c r="F27" s="4"/>
      <c r="G27" s="4"/>
      <c r="H27" s="4"/>
      <c r="I27" s="13"/>
      <c r="J27" s="4"/>
      <c r="K27" s="4"/>
      <c r="L27" s="4"/>
      <c r="M27" s="13"/>
      <c r="N27" s="13"/>
      <c r="O27" s="13" t="s">
        <v>2</v>
      </c>
      <c r="P27" s="13" t="s">
        <v>2</v>
      </c>
      <c r="Q27" s="13" t="s">
        <v>2</v>
      </c>
      <c r="R27" s="13" t="s">
        <v>3</v>
      </c>
    </row>
    <row r="28" spans="1:21" x14ac:dyDescent="0.2">
      <c r="A28" s="4"/>
      <c r="B28" s="4"/>
      <c r="C28" s="4"/>
      <c r="D28" s="4"/>
      <c r="E28" s="4"/>
      <c r="F28" s="4"/>
      <c r="G28" s="4"/>
      <c r="H28" s="13" t="s">
        <v>32</v>
      </c>
      <c r="I28" s="13"/>
      <c r="J28" s="4"/>
      <c r="K28" s="4"/>
      <c r="L28" s="4"/>
      <c r="M28" s="13"/>
      <c r="N28" s="13" t="s">
        <v>3</v>
      </c>
      <c r="O28" s="13" t="s">
        <v>31</v>
      </c>
      <c r="P28" s="13" t="s">
        <v>31</v>
      </c>
      <c r="Q28" s="13" t="s">
        <v>31</v>
      </c>
      <c r="R28" s="13" t="s">
        <v>30</v>
      </c>
    </row>
    <row r="29" spans="1:21" x14ac:dyDescent="0.2">
      <c r="A29" s="4"/>
      <c r="B29" s="13"/>
      <c r="C29" s="13" t="s">
        <v>29</v>
      </c>
      <c r="D29" s="13" t="s">
        <v>44</v>
      </c>
      <c r="E29" s="13" t="s">
        <v>28</v>
      </c>
      <c r="F29" s="13" t="s">
        <v>27</v>
      </c>
      <c r="G29" s="13" t="s">
        <v>26</v>
      </c>
      <c r="H29" s="13" t="s">
        <v>26</v>
      </c>
      <c r="I29" s="13"/>
      <c r="J29" s="13"/>
      <c r="K29" s="13"/>
      <c r="L29" s="13" t="s">
        <v>45</v>
      </c>
      <c r="M29" s="13" t="s">
        <v>25</v>
      </c>
      <c r="N29" s="13" t="s">
        <v>46</v>
      </c>
      <c r="O29" s="13" t="s">
        <v>17</v>
      </c>
      <c r="P29" s="13" t="s">
        <v>24</v>
      </c>
      <c r="Q29" s="13" t="s">
        <v>24</v>
      </c>
      <c r="R29" s="13" t="s">
        <v>23</v>
      </c>
    </row>
    <row r="30" spans="1:21" x14ac:dyDescent="0.2">
      <c r="A30" s="13" t="s">
        <v>1</v>
      </c>
      <c r="B30" s="13" t="s">
        <v>22</v>
      </c>
      <c r="C30" s="13" t="s">
        <v>21</v>
      </c>
      <c r="D30" s="13" t="s">
        <v>20</v>
      </c>
      <c r="E30" s="13" t="s">
        <v>21</v>
      </c>
      <c r="F30" s="13" t="s">
        <v>20</v>
      </c>
      <c r="G30" s="13" t="s">
        <v>19</v>
      </c>
      <c r="H30" s="13" t="s">
        <v>19</v>
      </c>
      <c r="I30" s="13" t="s">
        <v>18</v>
      </c>
      <c r="J30" s="13" t="s">
        <v>17</v>
      </c>
      <c r="K30" s="13" t="s">
        <v>16</v>
      </c>
      <c r="L30" s="13" t="s">
        <v>15</v>
      </c>
      <c r="M30" s="13" t="s">
        <v>15</v>
      </c>
      <c r="N30" s="13" t="s">
        <v>13</v>
      </c>
      <c r="O30" s="13" t="s">
        <v>14</v>
      </c>
      <c r="P30" s="13" t="s">
        <v>13</v>
      </c>
      <c r="Q30" s="13" t="s">
        <v>13</v>
      </c>
      <c r="R30" s="13" t="s">
        <v>6</v>
      </c>
    </row>
    <row r="32" spans="1:21" x14ac:dyDescent="0.2">
      <c r="A32">
        <v>0</v>
      </c>
      <c r="B32" s="10">
        <f>E10</f>
        <v>1000</v>
      </c>
      <c r="C32" s="19"/>
      <c r="D32" s="19"/>
      <c r="E32" s="19"/>
      <c r="F32" s="19"/>
      <c r="G32" s="19"/>
      <c r="H32" s="19"/>
      <c r="I32" s="15"/>
      <c r="J32" s="1"/>
      <c r="K32" s="10"/>
      <c r="L32" s="15"/>
      <c r="M32" s="9"/>
      <c r="N32" s="10"/>
      <c r="O32" s="26">
        <f>1/(1+'Combined WACOC-Tax Table'!$F$13)^A32</f>
        <v>1</v>
      </c>
      <c r="P32" s="16">
        <f t="shared" ref="P32:P72" si="6">N32*O32</f>
        <v>0</v>
      </c>
      <c r="Q32" s="15">
        <f>P32</f>
        <v>0</v>
      </c>
    </row>
    <row r="33" spans="1:19" x14ac:dyDescent="0.2">
      <c r="A33">
        <v>1</v>
      </c>
      <c r="C33" s="27">
        <f>(1/$E$11)*$B$32</f>
        <v>25</v>
      </c>
      <c r="D33" s="27">
        <f>$B$32-C33</f>
        <v>975</v>
      </c>
      <c r="E33" s="27">
        <f>HLOOKUP($E$12,'Combined WACOC-Tax Table'!$B$17:$E$58,A33+1)*$B$32</f>
        <v>37.5</v>
      </c>
      <c r="F33" s="27">
        <f>B32-E33</f>
        <v>962.5</v>
      </c>
      <c r="G33" s="27">
        <f t="shared" ref="G33:G72" si="7">(E33-C33)*$E$13</f>
        <v>3.1061814999999999</v>
      </c>
      <c r="H33" s="27">
        <f>G33</f>
        <v>3.1061814999999999</v>
      </c>
      <c r="I33" s="27">
        <f>D33-H33</f>
        <v>971.89381849999995</v>
      </c>
      <c r="J33" s="27">
        <f>'Combined WACOC-Tax Table'!$D$10*I33</f>
        <v>0.62205024864931491</v>
      </c>
      <c r="K33" s="27">
        <f>I33*('Combined WACOC-Tax Table'!$D$11+'Combined WACOC-Tax Table'!$D$12)</f>
        <v>66.251571152985349</v>
      </c>
      <c r="L33" s="27">
        <f t="shared" ref="L33:L72" si="8">$E$14*D33</f>
        <v>5.7092355237591246</v>
      </c>
      <c r="M33" s="27">
        <f t="shared" ref="M33:M72" si="9">($E$13/(1-$E$13))*K33</f>
        <v>21.906895972211593</v>
      </c>
      <c r="N33" s="27">
        <f>C33+J33+K33+L33+M33</f>
        <v>119.48975289760537</v>
      </c>
      <c r="O33" s="26">
        <f>1/(1+'Combined WACOC-Tax Table'!$F$13)^A33</f>
        <v>0.93971279486139858</v>
      </c>
      <c r="P33" s="18">
        <f t="shared" si="6"/>
        <v>112.28604965270664</v>
      </c>
      <c r="Q33" s="9">
        <f t="shared" ref="Q33:Q72" si="10">Q32+P33</f>
        <v>112.28604965270664</v>
      </c>
      <c r="R33" s="6">
        <f t="shared" ref="R33:R72" si="11">N33/$B$32</f>
        <v>0.11948975289760537</v>
      </c>
      <c r="S33" s="17"/>
    </row>
    <row r="34" spans="1:19" x14ac:dyDescent="0.2">
      <c r="A34">
        <v>2</v>
      </c>
      <c r="C34" s="9">
        <f t="shared" ref="C34:C72" si="12">IF(D33&lt;=0.001,0,(1/$E$11)*$B$32)</f>
        <v>25</v>
      </c>
      <c r="D34" s="9">
        <f t="shared" ref="D34:D72" si="13">D33-C34</f>
        <v>950</v>
      </c>
      <c r="E34" s="9">
        <f>HLOOKUP($E$12,'Combined WACOC-Tax Table'!$B$17:$E$58,A34+1)*$B$32</f>
        <v>72.19</v>
      </c>
      <c r="F34" s="9">
        <f t="shared" ref="F34:F72" si="14">F33-E34</f>
        <v>890.31</v>
      </c>
      <c r="G34" s="9">
        <f t="shared" si="7"/>
        <v>11.7264563988</v>
      </c>
      <c r="H34" s="9">
        <f t="shared" ref="H34:H72" si="15">H33+G34</f>
        <v>14.8326378988</v>
      </c>
      <c r="I34" s="9">
        <f t="shared" ref="I34:I62" si="16">D34-H34</f>
        <v>935.16736210119996</v>
      </c>
      <c r="J34" s="9">
        <f>'Combined WACOC-Tax Table'!$D$10*I34</f>
        <v>0.59854387284980493</v>
      </c>
      <c r="K34" s="9">
        <f>I34*('Combined WACOC-Tax Table'!$D$11+'Combined WACOC-Tax Table'!$D$12)</f>
        <v>63.748020463613301</v>
      </c>
      <c r="L34" s="9">
        <f t="shared" si="8"/>
        <v>5.5628448693037624</v>
      </c>
      <c r="M34" s="9">
        <f t="shared" si="9"/>
        <v>21.079066178008127</v>
      </c>
      <c r="N34" s="29">
        <f>C34+J34+K34+L34+M34</f>
        <v>115.98847538377498</v>
      </c>
      <c r="O34" s="26">
        <f>1/(1+'Combined WACOC-Tax Table'!$F$13)^A34</f>
        <v>0.88306013682622109</v>
      </c>
      <c r="P34" s="18">
        <f t="shared" si="6"/>
        <v>102.42479894266111</v>
      </c>
      <c r="Q34" s="9">
        <f t="shared" si="10"/>
        <v>214.71084859536774</v>
      </c>
      <c r="R34" s="6">
        <f t="shared" si="11"/>
        <v>0.11598847538377498</v>
      </c>
      <c r="S34" s="17"/>
    </row>
    <row r="35" spans="1:19" x14ac:dyDescent="0.2">
      <c r="A35">
        <v>3</v>
      </c>
      <c r="C35" s="9">
        <f t="shared" si="12"/>
        <v>25</v>
      </c>
      <c r="D35" s="9">
        <f t="shared" si="13"/>
        <v>925</v>
      </c>
      <c r="E35" s="9">
        <f>HLOOKUP($E$12,'Combined WACOC-Tax Table'!$B$17:$E$58,A35+1)*$B$32</f>
        <v>66.77</v>
      </c>
      <c r="F35" s="9">
        <f t="shared" si="14"/>
        <v>823.54</v>
      </c>
      <c r="G35" s="9">
        <f t="shared" si="7"/>
        <v>10.379616100399998</v>
      </c>
      <c r="H35" s="9">
        <f t="shared" si="15"/>
        <v>25.212253999199998</v>
      </c>
      <c r="I35" s="9">
        <f t="shared" si="16"/>
        <v>899.78774600079998</v>
      </c>
      <c r="J35" s="9">
        <f>'Combined WACOC-Tax Table'!$D$10*I35</f>
        <v>0.57589952778509645</v>
      </c>
      <c r="K35" s="9">
        <f>I35*('Combined WACOC-Tax Table'!$D$11+'Combined WACOC-Tax Table'!$D$12)</f>
        <v>61.336280509285196</v>
      </c>
      <c r="L35" s="9">
        <f t="shared" si="8"/>
        <v>5.4164542148484003</v>
      </c>
      <c r="M35" s="9">
        <f t="shared" si="9"/>
        <v>20.281594731338725</v>
      </c>
      <c r="N35" s="29">
        <f t="shared" ref="N35:N72" si="17">C35+J35+K35+L35+M35</f>
        <v>112.61022898325743</v>
      </c>
      <c r="O35" s="26">
        <f>1/(1+'Combined WACOC-Tax Table'!$F$13)^A35</f>
        <v>0.82982290920765722</v>
      </c>
      <c r="P35" s="18">
        <f t="shared" si="6"/>
        <v>93.446547821427117</v>
      </c>
      <c r="Q35" s="9">
        <f t="shared" si="10"/>
        <v>308.15739641679488</v>
      </c>
      <c r="R35" s="6">
        <f t="shared" si="11"/>
        <v>0.11261022898325743</v>
      </c>
      <c r="S35" s="17"/>
    </row>
    <row r="36" spans="1:19" x14ac:dyDescent="0.2">
      <c r="A36">
        <v>4</v>
      </c>
      <c r="C36" s="9">
        <f t="shared" si="12"/>
        <v>25</v>
      </c>
      <c r="D36" s="9">
        <f t="shared" si="13"/>
        <v>900</v>
      </c>
      <c r="E36" s="9">
        <f>HLOOKUP($E$12,'Combined WACOC-Tax Table'!$B$17:$E$58,A36+1)*$B$32</f>
        <v>61.769999999999996</v>
      </c>
      <c r="F36" s="9">
        <f t="shared" si="14"/>
        <v>761.77</v>
      </c>
      <c r="G36" s="9">
        <f t="shared" si="7"/>
        <v>9.1371435003999988</v>
      </c>
      <c r="H36" s="9">
        <f t="shared" si="15"/>
        <v>34.349397499599995</v>
      </c>
      <c r="I36" s="9">
        <f t="shared" si="16"/>
        <v>865.65060250040005</v>
      </c>
      <c r="J36" s="9">
        <f>'Combined WACOC-Tax Table'!$D$10*I36</f>
        <v>0.55405041402555555</v>
      </c>
      <c r="K36" s="9">
        <f>I36*('Combined WACOC-Tax Table'!$D$11+'Combined WACOC-Tax Table'!$D$12)</f>
        <v>59.009236804997641</v>
      </c>
      <c r="L36" s="9">
        <f t="shared" si="8"/>
        <v>5.2700635603930381</v>
      </c>
      <c r="M36" s="9">
        <f t="shared" si="9"/>
        <v>19.512129140328053</v>
      </c>
      <c r="N36" s="29">
        <f t="shared" si="17"/>
        <v>109.34547991974429</v>
      </c>
      <c r="O36" s="26">
        <f>1/(1+'Combined WACOC-Tax Table'!$F$13)^A36</f>
        <v>0.77979520525154433</v>
      </c>
      <c r="P36" s="18">
        <f t="shared" si="6"/>
        <v>85.267080957345627</v>
      </c>
      <c r="Q36" s="9">
        <f t="shared" si="10"/>
        <v>393.42447737414051</v>
      </c>
      <c r="R36" s="6">
        <f t="shared" si="11"/>
        <v>0.10934547991974429</v>
      </c>
      <c r="S36" s="17"/>
    </row>
    <row r="37" spans="1:19" x14ac:dyDescent="0.2">
      <c r="A37">
        <v>5</v>
      </c>
      <c r="C37" s="9">
        <f t="shared" si="12"/>
        <v>25</v>
      </c>
      <c r="D37" s="9">
        <f t="shared" si="13"/>
        <v>875</v>
      </c>
      <c r="E37" s="9">
        <f>HLOOKUP($E$12,'Combined WACOC-Tax Table'!$B$17:$E$58,A37+1)*$B$32</f>
        <v>57.13</v>
      </c>
      <c r="F37" s="9">
        <f t="shared" si="14"/>
        <v>704.64</v>
      </c>
      <c r="G37" s="9">
        <f t="shared" si="7"/>
        <v>7.9841289276000005</v>
      </c>
      <c r="H37" s="9">
        <f t="shared" si="15"/>
        <v>42.333526427199999</v>
      </c>
      <c r="I37" s="9">
        <f t="shared" si="16"/>
        <v>832.66647357279999</v>
      </c>
      <c r="J37" s="9">
        <f>'Combined WACOC-Tax Table'!$D$10*I37</f>
        <v>0.53293927491720994</v>
      </c>
      <c r="K37" s="9">
        <f>I37*('Combined WACOC-Tax Table'!$D$11+'Combined WACOC-Tax Table'!$D$12)</f>
        <v>56.760791220747699</v>
      </c>
      <c r="L37" s="9">
        <f t="shared" si="8"/>
        <v>5.123672905937676</v>
      </c>
      <c r="M37" s="9">
        <f t="shared" si="9"/>
        <v>18.768652983368678</v>
      </c>
      <c r="N37" s="29">
        <f t="shared" si="17"/>
        <v>106.18605638497127</v>
      </c>
      <c r="O37" s="26">
        <f>1/(1+'Combined WACOC-Tax Table'!$F$13)^A37</f>
        <v>0.73278353174644661</v>
      </c>
      <c r="P37" s="18">
        <f t="shared" si="6"/>
        <v>77.811393420006567</v>
      </c>
      <c r="Q37" s="9">
        <f t="shared" si="10"/>
        <v>471.2358707941471</v>
      </c>
      <c r="R37" s="6">
        <f t="shared" si="11"/>
        <v>0.10618605638497126</v>
      </c>
      <c r="S37" s="17"/>
    </row>
    <row r="38" spans="1:19" x14ac:dyDescent="0.2">
      <c r="A38">
        <v>6</v>
      </c>
      <c r="C38" s="9">
        <f t="shared" si="12"/>
        <v>25</v>
      </c>
      <c r="D38" s="9">
        <f t="shared" si="13"/>
        <v>850</v>
      </c>
      <c r="E38" s="9">
        <f>HLOOKUP($E$12,'Combined WACOC-Tax Table'!$B$17:$E$58,A38+1)*$B$32</f>
        <v>52.85</v>
      </c>
      <c r="F38" s="9">
        <f t="shared" si="14"/>
        <v>651.79</v>
      </c>
      <c r="G38" s="9">
        <f t="shared" si="7"/>
        <v>6.9205723820000005</v>
      </c>
      <c r="H38" s="9">
        <f t="shared" si="15"/>
        <v>49.254098809200002</v>
      </c>
      <c r="I38" s="9">
        <f t="shared" si="16"/>
        <v>800.74590119079994</v>
      </c>
      <c r="J38" s="9">
        <f>'Combined WACOC-Tax Table'!$D$10*I38</f>
        <v>0.51250885380608779</v>
      </c>
      <c r="K38" s="9">
        <f>I38*('Combined WACOC-Tax Table'!$D$11+'Combined WACOC-Tax Table'!$D$12)</f>
        <v>54.584845626532463</v>
      </c>
      <c r="L38" s="9">
        <f t="shared" si="8"/>
        <v>4.9772822514823138</v>
      </c>
      <c r="M38" s="9">
        <f t="shared" si="9"/>
        <v>18.049149838853182</v>
      </c>
      <c r="N38" s="29">
        <f t="shared" si="17"/>
        <v>103.12378657067404</v>
      </c>
      <c r="O38" s="26">
        <f>1/(1+'Combined WACOC-Tax Table'!$F$13)^A38</f>
        <v>0.68860606064585983</v>
      </c>
      <c r="P38" s="18">
        <f t="shared" si="6"/>
        <v>71.011664429316269</v>
      </c>
      <c r="Q38" s="9">
        <f t="shared" si="10"/>
        <v>542.24753522346339</v>
      </c>
      <c r="R38" s="6">
        <f t="shared" si="11"/>
        <v>0.10312378657067404</v>
      </c>
      <c r="S38" s="17"/>
    </row>
    <row r="39" spans="1:19" x14ac:dyDescent="0.2">
      <c r="A39">
        <v>7</v>
      </c>
      <c r="C39" s="9">
        <f t="shared" si="12"/>
        <v>25</v>
      </c>
      <c r="D39" s="9">
        <f t="shared" si="13"/>
        <v>825</v>
      </c>
      <c r="E39" s="9">
        <f>HLOOKUP($E$12,'Combined WACOC-Tax Table'!$B$17:$E$58,A39+1)*$B$32</f>
        <v>48.88</v>
      </c>
      <c r="F39" s="9">
        <f t="shared" si="14"/>
        <v>602.91</v>
      </c>
      <c r="G39" s="9">
        <f t="shared" si="7"/>
        <v>5.9340491376000006</v>
      </c>
      <c r="H39" s="9">
        <f t="shared" si="15"/>
        <v>55.188147946800001</v>
      </c>
      <c r="I39" s="9">
        <f t="shared" si="16"/>
        <v>769.81185205320003</v>
      </c>
      <c r="J39" s="9">
        <f>'Combined WACOC-Tax Table'!$D$10*I39</f>
        <v>0.49270984635126858</v>
      </c>
      <c r="K39" s="9">
        <f>I39*('Combined WACOC-Tax Table'!$D$11+'Combined WACOC-Tax Table'!$D$12)</f>
        <v>52.476148854849434</v>
      </c>
      <c r="L39" s="9">
        <f t="shared" si="8"/>
        <v>4.8308915970269517</v>
      </c>
      <c r="M39" s="9">
        <f t="shared" si="9"/>
        <v>17.351883343730719</v>
      </c>
      <c r="N39" s="29">
        <f t="shared" si="17"/>
        <v>100.15163364195837</v>
      </c>
      <c r="O39" s="26">
        <f>1/(1+'Combined WACOC-Tax Table'!$F$13)^A39</f>
        <v>0.64709192580801866</v>
      </c>
      <c r="P39" s="18">
        <f t="shared" si="6"/>
        <v>64.807313486193991</v>
      </c>
      <c r="Q39" s="9">
        <f t="shared" si="10"/>
        <v>607.05484870965734</v>
      </c>
      <c r="R39" s="6">
        <f t="shared" si="11"/>
        <v>0.10015163364195837</v>
      </c>
      <c r="S39" s="17"/>
    </row>
    <row r="40" spans="1:19" x14ac:dyDescent="0.2">
      <c r="A40">
        <v>8</v>
      </c>
      <c r="C40" s="9">
        <f t="shared" si="12"/>
        <v>25</v>
      </c>
      <c r="D40" s="9">
        <f t="shared" si="13"/>
        <v>800</v>
      </c>
      <c r="E40" s="9">
        <f>HLOOKUP($E$12,'Combined WACOC-Tax Table'!$B$17:$E$58,A40+1)*$B$32</f>
        <v>45.220000000000006</v>
      </c>
      <c r="F40" s="9">
        <f t="shared" si="14"/>
        <v>557.68999999999994</v>
      </c>
      <c r="G40" s="9">
        <f t="shared" si="7"/>
        <v>5.024559194400001</v>
      </c>
      <c r="H40" s="9">
        <f t="shared" si="15"/>
        <v>60.212707141199999</v>
      </c>
      <c r="I40" s="9">
        <f t="shared" si="16"/>
        <v>739.78729285880001</v>
      </c>
      <c r="J40" s="9">
        <f>'Combined WACOC-Tax Table'!$D$10*I40</f>
        <v>0.47349294821183197</v>
      </c>
      <c r="K40" s="9">
        <f>I40*('Combined WACOC-Tax Table'!$D$11+'Combined WACOC-Tax Table'!$D$12)</f>
        <v>50.42944973819607</v>
      </c>
      <c r="L40" s="9">
        <f t="shared" si="8"/>
        <v>4.6845009425715896</v>
      </c>
      <c r="M40" s="9">
        <f t="shared" si="9"/>
        <v>16.67511713495044</v>
      </c>
      <c r="N40" s="29">
        <f t="shared" si="17"/>
        <v>97.262560763929926</v>
      </c>
      <c r="O40" s="26">
        <f>1/(1+'Combined WACOC-Tax Table'!$F$13)^A40</f>
        <v>0.60808056213329797</v>
      </c>
      <c r="P40" s="18">
        <f t="shared" si="6"/>
        <v>59.143472623854564</v>
      </c>
      <c r="Q40" s="9">
        <f t="shared" si="10"/>
        <v>666.1983213335119</v>
      </c>
      <c r="R40" s="6">
        <f t="shared" si="11"/>
        <v>9.7262560763929931E-2</v>
      </c>
      <c r="S40" s="17"/>
    </row>
    <row r="41" spans="1:19" x14ac:dyDescent="0.2">
      <c r="A41">
        <v>9</v>
      </c>
      <c r="C41" s="9">
        <f t="shared" si="12"/>
        <v>25</v>
      </c>
      <c r="D41" s="9">
        <f t="shared" si="13"/>
        <v>775</v>
      </c>
      <c r="E41" s="9">
        <f>HLOOKUP($E$12,'Combined WACOC-Tax Table'!$B$17:$E$58,A41+1)*$B$32</f>
        <v>44.62</v>
      </c>
      <c r="F41" s="9">
        <f t="shared" si="14"/>
        <v>513.06999999999994</v>
      </c>
      <c r="G41" s="9">
        <f t="shared" si="7"/>
        <v>4.8754624823999997</v>
      </c>
      <c r="H41" s="9">
        <f t="shared" si="15"/>
        <v>65.088169623599995</v>
      </c>
      <c r="I41" s="9">
        <f t="shared" si="16"/>
        <v>709.91183037639996</v>
      </c>
      <c r="J41" s="9">
        <f>'Combined WACOC-Tax Table'!$D$10*I41</f>
        <v>0.45437147782901544</v>
      </c>
      <c r="K41" s="9">
        <f>I41*('Combined WACOC-Tax Table'!$D$11+'Combined WACOC-Tax Table'!$D$12)</f>
        <v>48.392914171547574</v>
      </c>
      <c r="L41" s="9">
        <f t="shared" si="8"/>
        <v>4.5381102881162274</v>
      </c>
      <c r="M41" s="9">
        <f t="shared" si="9"/>
        <v>16.001711628849215</v>
      </c>
      <c r="N41" s="29">
        <f t="shared" si="17"/>
        <v>94.387107566342024</v>
      </c>
      <c r="O41" s="26">
        <f>1/(1+'Combined WACOC-Tax Table'!$F$13)^A41</f>
        <v>0.57142108454317175</v>
      </c>
      <c r="P41" s="18">
        <f t="shared" si="6"/>
        <v>53.934783372452173</v>
      </c>
      <c r="Q41" s="9">
        <f t="shared" si="10"/>
        <v>720.13310470596412</v>
      </c>
      <c r="R41" s="6">
        <f t="shared" si="11"/>
        <v>9.4387107566342027E-2</v>
      </c>
      <c r="S41" s="17"/>
    </row>
    <row r="42" spans="1:19" x14ac:dyDescent="0.2">
      <c r="A42">
        <v>10</v>
      </c>
      <c r="C42" s="9">
        <f t="shared" si="12"/>
        <v>25</v>
      </c>
      <c r="D42" s="9">
        <f t="shared" si="13"/>
        <v>750</v>
      </c>
      <c r="E42" s="9">
        <f>HLOOKUP($E$12,'Combined WACOC-Tax Table'!$B$17:$E$58,A42+1)*$B$32</f>
        <v>44.61</v>
      </c>
      <c r="F42" s="9">
        <f t="shared" si="14"/>
        <v>468.45999999999992</v>
      </c>
      <c r="G42" s="9">
        <f t="shared" si="7"/>
        <v>4.8729775371999997</v>
      </c>
      <c r="H42" s="9">
        <f t="shared" si="15"/>
        <v>69.961147160799996</v>
      </c>
      <c r="I42" s="9">
        <f t="shared" si="16"/>
        <v>680.03885283919999</v>
      </c>
      <c r="J42" s="9">
        <f>'Combined WACOC-Tax Table'!$D$10*I42</f>
        <v>0.4352515979088093</v>
      </c>
      <c r="K42" s="9">
        <f>I42*('Combined WACOC-Tax Table'!$D$11+'Combined WACOC-Tax Table'!$D$12)</f>
        <v>46.356547997399154</v>
      </c>
      <c r="L42" s="9">
        <f t="shared" si="8"/>
        <v>4.3917196336608653</v>
      </c>
      <c r="M42" s="9">
        <f t="shared" si="9"/>
        <v>15.328362134459303</v>
      </c>
      <c r="N42" s="29">
        <f t="shared" si="17"/>
        <v>91.511881363428131</v>
      </c>
      <c r="O42" s="26">
        <f>1/(1+'Combined WACOC-Tax Table'!$F$13)^A42</f>
        <v>0.5369717043987956</v>
      </c>
      <c r="P42" s="18">
        <f t="shared" si="6"/>
        <v>49.139290908460382</v>
      </c>
      <c r="Q42" s="9">
        <f t="shared" si="10"/>
        <v>769.27239561442445</v>
      </c>
      <c r="R42" s="6">
        <f t="shared" si="11"/>
        <v>9.1511881363428124E-2</v>
      </c>
      <c r="S42" s="17"/>
    </row>
    <row r="43" spans="1:19" x14ac:dyDescent="0.2">
      <c r="A43">
        <v>11</v>
      </c>
      <c r="C43" s="9">
        <f t="shared" si="12"/>
        <v>25</v>
      </c>
      <c r="D43" s="9">
        <f t="shared" si="13"/>
        <v>725</v>
      </c>
      <c r="E43" s="9">
        <f>HLOOKUP($E$12,'Combined WACOC-Tax Table'!$B$17:$E$58,A43+1)*$B$32</f>
        <v>44.62</v>
      </c>
      <c r="F43" s="9">
        <f t="shared" si="14"/>
        <v>423.83999999999992</v>
      </c>
      <c r="G43" s="9">
        <f t="shared" si="7"/>
        <v>4.8754624823999997</v>
      </c>
      <c r="H43" s="9">
        <f t="shared" si="15"/>
        <v>74.836609643199992</v>
      </c>
      <c r="I43" s="9">
        <f t="shared" si="16"/>
        <v>650.16339035680005</v>
      </c>
      <c r="J43" s="9">
        <f>'Combined WACOC-Tax Table'!$D$10*I43</f>
        <v>0.41613012752599277</v>
      </c>
      <c r="K43" s="9">
        <f>I43*('Combined WACOC-Tax Table'!$D$11+'Combined WACOC-Tax Table'!$D$12)</f>
        <v>44.320012430750666</v>
      </c>
      <c r="L43" s="9">
        <f t="shared" si="8"/>
        <v>4.2453289792055031</v>
      </c>
      <c r="M43" s="9">
        <f t="shared" si="9"/>
        <v>14.654956628358077</v>
      </c>
      <c r="N43" s="29">
        <f t="shared" si="17"/>
        <v>88.636428165840229</v>
      </c>
      <c r="O43" s="26">
        <f>1/(1+'Combined WACOC-Tax Table'!$F$13)^A43</f>
        <v>0.50459918110208091</v>
      </c>
      <c r="P43" s="18">
        <f t="shared" si="6"/>
        <v>44.725869068296397</v>
      </c>
      <c r="Q43" s="9">
        <f t="shared" si="10"/>
        <v>813.9982646827209</v>
      </c>
      <c r="R43" s="6">
        <f t="shared" si="11"/>
        <v>8.8636428165840234E-2</v>
      </c>
      <c r="S43" s="17"/>
    </row>
    <row r="44" spans="1:19" x14ac:dyDescent="0.2">
      <c r="A44">
        <v>12</v>
      </c>
      <c r="C44" s="9">
        <f t="shared" si="12"/>
        <v>25</v>
      </c>
      <c r="D44" s="9">
        <f t="shared" si="13"/>
        <v>700</v>
      </c>
      <c r="E44" s="9">
        <f>HLOOKUP($E$12,'Combined WACOC-Tax Table'!$B$17:$E$58,A44+1)*$B$32</f>
        <v>44.61</v>
      </c>
      <c r="F44" s="9">
        <f t="shared" si="14"/>
        <v>379.2299999999999</v>
      </c>
      <c r="G44" s="9">
        <f t="shared" si="7"/>
        <v>4.8729775371999997</v>
      </c>
      <c r="H44" s="9">
        <f t="shared" si="15"/>
        <v>79.709587180399993</v>
      </c>
      <c r="I44" s="9">
        <f t="shared" si="16"/>
        <v>620.29041281959996</v>
      </c>
      <c r="J44" s="9">
        <f>'Combined WACOC-Tax Table'!$D$10*I44</f>
        <v>0.39701024760578657</v>
      </c>
      <c r="K44" s="9">
        <f>I44*('Combined WACOC-Tax Table'!$D$11+'Combined WACOC-Tax Table'!$D$12)</f>
        <v>42.283646256602246</v>
      </c>
      <c r="L44" s="9">
        <f t="shared" si="8"/>
        <v>4.098938324750141</v>
      </c>
      <c r="M44" s="9">
        <f t="shared" si="9"/>
        <v>13.981607133968167</v>
      </c>
      <c r="N44" s="29">
        <f t="shared" si="17"/>
        <v>85.761201962926336</v>
      </c>
      <c r="O44" s="26">
        <f>1/(1+'Combined WACOC-Tax Table'!$F$13)^A44</f>
        <v>0.47417830675820954</v>
      </c>
      <c r="P44" s="18">
        <f t="shared" si="6"/>
        <v>40.666101532329243</v>
      </c>
      <c r="Q44" s="9">
        <f t="shared" si="10"/>
        <v>854.66436621505011</v>
      </c>
      <c r="R44" s="6">
        <f t="shared" si="11"/>
        <v>8.5761201962926331E-2</v>
      </c>
      <c r="S44" s="17"/>
    </row>
    <row r="45" spans="1:19" x14ac:dyDescent="0.2">
      <c r="A45">
        <v>13</v>
      </c>
      <c r="C45" s="9">
        <f t="shared" si="12"/>
        <v>25</v>
      </c>
      <c r="D45" s="9">
        <f t="shared" si="13"/>
        <v>675</v>
      </c>
      <c r="E45" s="9">
        <f>HLOOKUP($E$12,'Combined WACOC-Tax Table'!$B$17:$E$58,A45+1)*$B$32</f>
        <v>44.62</v>
      </c>
      <c r="F45" s="9">
        <f t="shared" si="14"/>
        <v>334.6099999999999</v>
      </c>
      <c r="G45" s="9">
        <f t="shared" si="7"/>
        <v>4.8754624823999997</v>
      </c>
      <c r="H45" s="9">
        <f t="shared" si="15"/>
        <v>84.585049662799989</v>
      </c>
      <c r="I45" s="9">
        <f t="shared" si="16"/>
        <v>590.41495033720003</v>
      </c>
      <c r="J45" s="9">
        <f>'Combined WACOC-Tax Table'!$D$10*I45</f>
        <v>0.3778887772229701</v>
      </c>
      <c r="K45" s="9">
        <f>I45*('Combined WACOC-Tax Table'!$D$11+'Combined WACOC-Tax Table'!$D$12)</f>
        <v>40.24711068995375</v>
      </c>
      <c r="L45" s="9">
        <f t="shared" si="8"/>
        <v>3.9525476702947784</v>
      </c>
      <c r="M45" s="9">
        <f t="shared" si="9"/>
        <v>13.308201627866939</v>
      </c>
      <c r="N45" s="29">
        <f t="shared" si="17"/>
        <v>82.885748765338434</v>
      </c>
      <c r="O45" s="26">
        <f>1/(1+'Combined WACOC-Tax Table'!$F$13)^A45</f>
        <v>0.44559142190640272</v>
      </c>
      <c r="P45" s="18">
        <f t="shared" si="6"/>
        <v>36.933178648124013</v>
      </c>
      <c r="Q45" s="9">
        <f t="shared" si="10"/>
        <v>891.59754486317411</v>
      </c>
      <c r="R45" s="6">
        <f t="shared" si="11"/>
        <v>8.2885748765338441E-2</v>
      </c>
      <c r="S45" s="17"/>
    </row>
    <row r="46" spans="1:19" x14ac:dyDescent="0.2">
      <c r="A46">
        <v>14</v>
      </c>
      <c r="C46" s="9">
        <f t="shared" si="12"/>
        <v>25</v>
      </c>
      <c r="D46" s="9">
        <f t="shared" si="13"/>
        <v>650</v>
      </c>
      <c r="E46" s="9">
        <f>HLOOKUP($E$12,'Combined WACOC-Tax Table'!$B$17:$E$58,A46+1)*$B$32</f>
        <v>44.61</v>
      </c>
      <c r="F46" s="9">
        <f t="shared" si="14"/>
        <v>289.99999999999989</v>
      </c>
      <c r="G46" s="9">
        <f t="shared" si="7"/>
        <v>4.8729775371999997</v>
      </c>
      <c r="H46" s="9">
        <f t="shared" si="15"/>
        <v>89.458027199999989</v>
      </c>
      <c r="I46" s="9">
        <f t="shared" si="16"/>
        <v>560.54197280000005</v>
      </c>
      <c r="J46" s="9">
        <f>'Combined WACOC-Tax Table'!$D$10*I46</f>
        <v>0.3587688973027639</v>
      </c>
      <c r="K46" s="9">
        <f>I46*('Combined WACOC-Tax Table'!$D$11+'Combined WACOC-Tax Table'!$D$12)</f>
        <v>38.210744515805338</v>
      </c>
      <c r="L46" s="9">
        <f t="shared" si="8"/>
        <v>3.8061570158394162</v>
      </c>
      <c r="M46" s="9">
        <f t="shared" si="9"/>
        <v>12.634852133477029</v>
      </c>
      <c r="N46" s="29">
        <f t="shared" si="17"/>
        <v>80.010522562424541</v>
      </c>
      <c r="O46" s="26">
        <f>1/(1+'Combined WACOC-Tax Table'!$F$13)^A46</f>
        <v>0.41872796044593036</v>
      </c>
      <c r="P46" s="18">
        <f t="shared" si="6"/>
        <v>33.502642926777121</v>
      </c>
      <c r="Q46" s="9">
        <f t="shared" si="10"/>
        <v>925.10018778995118</v>
      </c>
      <c r="R46" s="6">
        <f t="shared" si="11"/>
        <v>8.0010522562424538E-2</v>
      </c>
      <c r="S46" s="17"/>
    </row>
    <row r="47" spans="1:19" x14ac:dyDescent="0.2">
      <c r="A47">
        <v>15</v>
      </c>
      <c r="C47" s="9">
        <f t="shared" si="12"/>
        <v>25</v>
      </c>
      <c r="D47" s="9">
        <f t="shared" si="13"/>
        <v>625</v>
      </c>
      <c r="E47" s="9">
        <f>HLOOKUP($E$12,'Combined WACOC-Tax Table'!$B$17:$E$58,A47+1)*$B$32</f>
        <v>44.62</v>
      </c>
      <c r="F47" s="9">
        <f t="shared" si="14"/>
        <v>245.37999999999988</v>
      </c>
      <c r="G47" s="9">
        <f t="shared" si="7"/>
        <v>4.8754624823999997</v>
      </c>
      <c r="H47" s="9">
        <f t="shared" si="15"/>
        <v>94.333489682399986</v>
      </c>
      <c r="I47" s="9">
        <f t="shared" si="16"/>
        <v>530.6665103176</v>
      </c>
      <c r="J47" s="9">
        <f>'Combined WACOC-Tax Table'!$D$10*I47</f>
        <v>0.33964742691994737</v>
      </c>
      <c r="K47" s="9">
        <f>I47*('Combined WACOC-Tax Table'!$D$11+'Combined WACOC-Tax Table'!$D$12)</f>
        <v>36.174208949156842</v>
      </c>
      <c r="L47" s="9">
        <f t="shared" si="8"/>
        <v>3.6597663613840541</v>
      </c>
      <c r="M47" s="9">
        <f t="shared" si="9"/>
        <v>11.961446627375802</v>
      </c>
      <c r="N47" s="29">
        <f t="shared" si="17"/>
        <v>77.135069364836653</v>
      </c>
      <c r="O47" s="26">
        <f>1/(1+'Combined WACOC-Tax Table'!$F$13)^A47</f>
        <v>0.39348402199725835</v>
      </c>
      <c r="P47" s="18">
        <f t="shared" si="6"/>
        <v>30.351417330713435</v>
      </c>
      <c r="Q47" s="9">
        <f t="shared" si="10"/>
        <v>955.45160512066457</v>
      </c>
      <c r="R47" s="6">
        <f t="shared" si="11"/>
        <v>7.7135069364836648E-2</v>
      </c>
      <c r="S47" s="17"/>
    </row>
    <row r="48" spans="1:19" x14ac:dyDescent="0.2">
      <c r="A48">
        <v>16</v>
      </c>
      <c r="C48" s="9">
        <f t="shared" si="12"/>
        <v>25</v>
      </c>
      <c r="D48" s="9">
        <f t="shared" si="13"/>
        <v>600</v>
      </c>
      <c r="E48" s="9">
        <f>HLOOKUP($E$12,'Combined WACOC-Tax Table'!$B$17:$E$58,A48+1)*$B$32</f>
        <v>44.61</v>
      </c>
      <c r="F48" s="9">
        <f t="shared" si="14"/>
        <v>200.76999999999987</v>
      </c>
      <c r="G48" s="9">
        <f t="shared" si="7"/>
        <v>4.8729775371999997</v>
      </c>
      <c r="H48" s="9">
        <f t="shared" si="15"/>
        <v>99.206467219599986</v>
      </c>
      <c r="I48" s="9">
        <f t="shared" si="16"/>
        <v>500.79353278040003</v>
      </c>
      <c r="J48" s="9">
        <f>'Combined WACOC-Tax Table'!$D$10*I48</f>
        <v>0.32052754699974123</v>
      </c>
      <c r="K48" s="9">
        <f>I48*('Combined WACOC-Tax Table'!$D$11+'Combined WACOC-Tax Table'!$D$12)</f>
        <v>34.13784277500843</v>
      </c>
      <c r="L48" s="9">
        <f t="shared" si="8"/>
        <v>3.5133757069286919</v>
      </c>
      <c r="M48" s="9">
        <f t="shared" si="9"/>
        <v>11.288097132985893</v>
      </c>
      <c r="N48" s="29">
        <f t="shared" si="17"/>
        <v>74.25984316192276</v>
      </c>
      <c r="O48" s="26">
        <f>1/(1+'Combined WACOC-Tax Table'!$F$13)^A48</f>
        <v>0.36976197004434774</v>
      </c>
      <c r="P48" s="18">
        <f t="shared" si="6"/>
        <v>27.458465902736844</v>
      </c>
      <c r="Q48" s="9">
        <f t="shared" si="10"/>
        <v>982.91007102340143</v>
      </c>
      <c r="R48" s="6">
        <f t="shared" si="11"/>
        <v>7.4259843161922759E-2</v>
      </c>
      <c r="S48" s="17"/>
    </row>
    <row r="49" spans="1:19" x14ac:dyDescent="0.2">
      <c r="A49">
        <v>17</v>
      </c>
      <c r="C49" s="9">
        <f t="shared" si="12"/>
        <v>25</v>
      </c>
      <c r="D49" s="9">
        <f t="shared" si="13"/>
        <v>575</v>
      </c>
      <c r="E49" s="9">
        <f>HLOOKUP($E$12,'Combined WACOC-Tax Table'!$B$17:$E$58,A49+1)*$B$32</f>
        <v>44.62</v>
      </c>
      <c r="F49" s="9">
        <f t="shared" si="14"/>
        <v>156.14999999999986</v>
      </c>
      <c r="G49" s="9">
        <f t="shared" si="7"/>
        <v>4.8754624823999997</v>
      </c>
      <c r="H49" s="9">
        <f t="shared" si="15"/>
        <v>104.08192970199998</v>
      </c>
      <c r="I49" s="9">
        <f t="shared" si="16"/>
        <v>470.91807029800003</v>
      </c>
      <c r="J49" s="9">
        <f>'Combined WACOC-Tax Table'!$D$10*I49</f>
        <v>0.3014060766169247</v>
      </c>
      <c r="K49" s="9">
        <f>I49*('Combined WACOC-Tax Table'!$D$11+'Combined WACOC-Tax Table'!$D$12)</f>
        <v>32.101307208359934</v>
      </c>
      <c r="L49" s="9">
        <f t="shared" si="8"/>
        <v>3.3669850524733298</v>
      </c>
      <c r="M49" s="9">
        <f t="shared" si="9"/>
        <v>10.614691626884666</v>
      </c>
      <c r="N49" s="29">
        <f t="shared" si="17"/>
        <v>71.384389964334858</v>
      </c>
      <c r="O49" s="26">
        <f>1/(1+'Combined WACOC-Tax Table'!$F$13)^A49</f>
        <v>0.34747005430383077</v>
      </c>
      <c r="P49" s="18">
        <f t="shared" si="6"/>
        <v>24.803937857353265</v>
      </c>
      <c r="Q49" s="9">
        <f t="shared" si="10"/>
        <v>1007.7140088807547</v>
      </c>
      <c r="R49" s="6">
        <f t="shared" si="11"/>
        <v>7.1384389964334855E-2</v>
      </c>
      <c r="S49" s="17"/>
    </row>
    <row r="50" spans="1:19" x14ac:dyDescent="0.2">
      <c r="A50">
        <v>18</v>
      </c>
      <c r="C50" s="9">
        <f t="shared" si="12"/>
        <v>25</v>
      </c>
      <c r="D50" s="9">
        <f t="shared" si="13"/>
        <v>550</v>
      </c>
      <c r="E50" s="9">
        <f>HLOOKUP($E$12,'Combined WACOC-Tax Table'!$B$17:$E$58,A50+1)*$B$32</f>
        <v>44.61</v>
      </c>
      <c r="F50" s="9">
        <f t="shared" si="14"/>
        <v>111.53999999999986</v>
      </c>
      <c r="G50" s="9">
        <f t="shared" si="7"/>
        <v>4.8729775371999997</v>
      </c>
      <c r="H50" s="9">
        <f t="shared" si="15"/>
        <v>108.95490723919998</v>
      </c>
      <c r="I50" s="9">
        <f t="shared" si="16"/>
        <v>441.0450927608</v>
      </c>
      <c r="J50" s="9">
        <f>'Combined WACOC-Tax Table'!$D$10*I50</f>
        <v>0.28228619669671851</v>
      </c>
      <c r="K50" s="9">
        <f>I50*('Combined WACOC-Tax Table'!$D$11+'Combined WACOC-Tax Table'!$D$12)</f>
        <v>30.064941034211515</v>
      </c>
      <c r="L50" s="9">
        <f t="shared" si="8"/>
        <v>3.2205943980179677</v>
      </c>
      <c r="M50" s="9">
        <f t="shared" si="9"/>
        <v>9.9413421324947535</v>
      </c>
      <c r="N50" s="29">
        <f t="shared" si="17"/>
        <v>68.50916376142095</v>
      </c>
      <c r="O50" s="26">
        <f>1/(1+'Combined WACOC-Tax Table'!$F$13)^A50</f>
        <v>0.32652205586049476</v>
      </c>
      <c r="P50" s="18">
        <f t="shared" si="6"/>
        <v>22.369752996662474</v>
      </c>
      <c r="Q50" s="9">
        <f t="shared" si="10"/>
        <v>1030.0837618774171</v>
      </c>
      <c r="R50" s="6">
        <f t="shared" si="11"/>
        <v>6.8509163761420952E-2</v>
      </c>
      <c r="S50" s="17"/>
    </row>
    <row r="51" spans="1:19" x14ac:dyDescent="0.2">
      <c r="A51">
        <v>19</v>
      </c>
      <c r="C51" s="9">
        <f t="shared" si="12"/>
        <v>25</v>
      </c>
      <c r="D51" s="9">
        <f t="shared" si="13"/>
        <v>525</v>
      </c>
      <c r="E51" s="9">
        <f>HLOOKUP($E$12,'Combined WACOC-Tax Table'!$B$17:$E$58,A51+1)*$B$32</f>
        <v>44.62</v>
      </c>
      <c r="F51" s="9">
        <f t="shared" si="14"/>
        <v>66.919999999999874</v>
      </c>
      <c r="G51" s="9">
        <f t="shared" si="7"/>
        <v>4.8754624823999997</v>
      </c>
      <c r="H51" s="9">
        <f t="shared" si="15"/>
        <v>113.83036972159998</v>
      </c>
      <c r="I51" s="9">
        <f t="shared" si="16"/>
        <v>411.16963027840001</v>
      </c>
      <c r="J51" s="9">
        <f>'Combined WACOC-Tax Table'!$D$10*I51</f>
        <v>0.26316472631390198</v>
      </c>
      <c r="K51" s="9">
        <f>I51*('Combined WACOC-Tax Table'!$D$11+'Combined WACOC-Tax Table'!$D$12)</f>
        <v>28.028405467563019</v>
      </c>
      <c r="L51" s="9">
        <f t="shared" si="8"/>
        <v>3.0742037435626055</v>
      </c>
      <c r="M51" s="9">
        <f t="shared" si="9"/>
        <v>9.2679366263935261</v>
      </c>
      <c r="N51" s="29">
        <f t="shared" si="17"/>
        <v>65.633710563833048</v>
      </c>
      <c r="O51" s="26">
        <f>1/(1+'Combined WACOC-Tax Table'!$F$13)^A51</f>
        <v>0.30683695369655523</v>
      </c>
      <c r="P51" s="18">
        <f t="shared" si="6"/>
        <v>20.138847809207949</v>
      </c>
      <c r="Q51" s="9">
        <f t="shared" si="10"/>
        <v>1050.222609686625</v>
      </c>
      <c r="R51" s="6">
        <f t="shared" si="11"/>
        <v>6.5633710563833048E-2</v>
      </c>
      <c r="S51" s="17"/>
    </row>
    <row r="52" spans="1:19" x14ac:dyDescent="0.2">
      <c r="A52">
        <v>20</v>
      </c>
      <c r="C52" s="9">
        <f t="shared" si="12"/>
        <v>25</v>
      </c>
      <c r="D52" s="9">
        <f t="shared" si="13"/>
        <v>500</v>
      </c>
      <c r="E52" s="9">
        <f>HLOOKUP($E$12,'Combined WACOC-Tax Table'!$B$17:$E$58,A52+1)*$B$32</f>
        <v>44.61</v>
      </c>
      <c r="F52" s="9">
        <f t="shared" si="14"/>
        <v>22.309999999999874</v>
      </c>
      <c r="G52" s="9">
        <f t="shared" si="7"/>
        <v>4.8729775371999997</v>
      </c>
      <c r="H52" s="9">
        <f t="shared" si="15"/>
        <v>118.70334725879998</v>
      </c>
      <c r="I52" s="9">
        <f t="shared" si="16"/>
        <v>381.29665274120003</v>
      </c>
      <c r="J52" s="9">
        <f>'Combined WACOC-Tax Table'!$D$10*I52</f>
        <v>0.24404484639369581</v>
      </c>
      <c r="K52" s="9">
        <f>I52*('Combined WACOC-Tax Table'!$D$11+'Combined WACOC-Tax Table'!$D$12)</f>
        <v>25.992039293414607</v>
      </c>
      <c r="L52" s="9">
        <f t="shared" si="8"/>
        <v>2.9278130891072434</v>
      </c>
      <c r="M52" s="9">
        <f t="shared" si="9"/>
        <v>8.5945871320036158</v>
      </c>
      <c r="N52" s="29">
        <f t="shared" si="17"/>
        <v>62.758484360919162</v>
      </c>
      <c r="O52" s="26">
        <f>1/(1+'Combined WACOC-Tax Table'!$F$13)^A52</f>
        <v>0.28833861132494754</v>
      </c>
      <c r="P52" s="18">
        <f t="shared" si="6"/>
        <v>18.095694229485868</v>
      </c>
      <c r="Q52" s="9">
        <f t="shared" si="10"/>
        <v>1068.3183039161108</v>
      </c>
      <c r="R52" s="6">
        <f t="shared" si="11"/>
        <v>6.2758484360919159E-2</v>
      </c>
      <c r="S52" s="17"/>
    </row>
    <row r="53" spans="1:19" x14ac:dyDescent="0.2">
      <c r="A53">
        <v>21</v>
      </c>
      <c r="C53" s="9">
        <f t="shared" si="12"/>
        <v>25</v>
      </c>
      <c r="D53" s="9">
        <f t="shared" si="13"/>
        <v>475</v>
      </c>
      <c r="E53" s="9">
        <f>HLOOKUP($E$12,'Combined WACOC-Tax Table'!$B$17:$E$58,A53+1)*$B$32</f>
        <v>22.31</v>
      </c>
      <c r="F53" s="9">
        <f t="shared" si="14"/>
        <v>-1.2434497875801753E-13</v>
      </c>
      <c r="G53" s="9">
        <f t="shared" si="7"/>
        <v>-0.66845025880000031</v>
      </c>
      <c r="H53" s="9">
        <f t="shared" si="15"/>
        <v>118.03489699999997</v>
      </c>
      <c r="I53" s="9">
        <f t="shared" si="16"/>
        <v>356.965103</v>
      </c>
      <c r="J53" s="9">
        <f>'Combined WACOC-Tax Table'!$D$10*I53</f>
        <v>0.22847169809453657</v>
      </c>
      <c r="K53" s="9">
        <f>I53*('Combined WACOC-Tax Table'!$D$11+'Combined WACOC-Tax Table'!$D$12)</f>
        <v>24.333418394447012</v>
      </c>
      <c r="L53" s="9">
        <f t="shared" si="8"/>
        <v>2.7814224346518812</v>
      </c>
      <c r="M53" s="9">
        <f t="shared" si="9"/>
        <v>8.0461437538516414</v>
      </c>
      <c r="N53" s="29">
        <f t="shared" si="17"/>
        <v>60.389456281045071</v>
      </c>
      <c r="O53" s="26">
        <f>1/(1+'Combined WACOC-Tax Table'!$F$13)^A53</f>
        <v>0.27095548231462091</v>
      </c>
      <c r="P53" s="18">
        <f t="shared" si="6"/>
        <v>16.362854253348281</v>
      </c>
      <c r="Q53" s="9">
        <f t="shared" si="10"/>
        <v>1084.6811581694592</v>
      </c>
      <c r="R53" s="6">
        <f t="shared" si="11"/>
        <v>6.038945628104507E-2</v>
      </c>
      <c r="S53" s="17"/>
    </row>
    <row r="54" spans="1:19" x14ac:dyDescent="0.2">
      <c r="A54">
        <v>22</v>
      </c>
      <c r="C54" s="9">
        <f t="shared" si="12"/>
        <v>25</v>
      </c>
      <c r="D54" s="9">
        <f t="shared" si="13"/>
        <v>450</v>
      </c>
      <c r="E54" s="9">
        <f>HLOOKUP($E$12,'Combined WACOC-Tax Table'!$B$17:$E$58,A54+1)*$B$32</f>
        <v>0</v>
      </c>
      <c r="F54" s="9">
        <f t="shared" si="14"/>
        <v>-1.2434497875801753E-13</v>
      </c>
      <c r="G54" s="9">
        <f>(E54-C54)*$E$13</f>
        <v>-6.2123629999999999</v>
      </c>
      <c r="H54" s="9">
        <f t="shared" si="15"/>
        <v>111.82253399999998</v>
      </c>
      <c r="I54" s="9">
        <f t="shared" si="16"/>
        <v>338.17746600000004</v>
      </c>
      <c r="J54" s="9">
        <f>'Combined WACOC-Tax Table'!$D$10*I54</f>
        <v>0.21644687187903466</v>
      </c>
      <c r="K54" s="9">
        <f>I54*('Combined WACOC-Tax Table'!$D$11+'Combined WACOC-Tax Table'!$D$12)</f>
        <v>23.052712163160329</v>
      </c>
      <c r="L54" s="9">
        <f t="shared" si="8"/>
        <v>2.6350317801965191</v>
      </c>
      <c r="M54" s="9">
        <f t="shared" si="9"/>
        <v>7.6226625036489253</v>
      </c>
      <c r="N54" s="29">
        <f t="shared" si="17"/>
        <v>58.526853318884811</v>
      </c>
      <c r="O54" s="26">
        <f>1/(1+'Combined WACOC-Tax Table'!$F$13)^A54</f>
        <v>0.25462033356889074</v>
      </c>
      <c r="P54" s="18">
        <f t="shared" si="6"/>
        <v>14.902126914791991</v>
      </c>
      <c r="Q54" s="9">
        <f t="shared" si="10"/>
        <v>1099.5832850842512</v>
      </c>
      <c r="R54" s="6">
        <f t="shared" si="11"/>
        <v>5.8526853318884811E-2</v>
      </c>
      <c r="S54" s="17"/>
    </row>
    <row r="55" spans="1:19" x14ac:dyDescent="0.2">
      <c r="A55">
        <v>23</v>
      </c>
      <c r="C55" s="9">
        <f t="shared" si="12"/>
        <v>25</v>
      </c>
      <c r="D55" s="9">
        <f t="shared" si="13"/>
        <v>425</v>
      </c>
      <c r="E55" s="9">
        <f>HLOOKUP($E$12,'Combined WACOC-Tax Table'!$B$17:$E$58,A55+1)*$B$32</f>
        <v>0</v>
      </c>
      <c r="F55" s="9">
        <f t="shared" si="14"/>
        <v>-1.2434497875801753E-13</v>
      </c>
      <c r="G55" s="9">
        <f t="shared" si="7"/>
        <v>-6.2123629999999999</v>
      </c>
      <c r="H55" s="9">
        <f t="shared" si="15"/>
        <v>105.61017099999998</v>
      </c>
      <c r="I55" s="9">
        <f t="shared" si="16"/>
        <v>319.38982900000002</v>
      </c>
      <c r="J55" s="9">
        <f>'Combined WACOC-Tax Table'!$D$10*I55</f>
        <v>0.20442204566353273</v>
      </c>
      <c r="K55" s="9">
        <f>I55*('Combined WACOC-Tax Table'!$D$11+'Combined WACOC-Tax Table'!$D$12)</f>
        <v>21.772005931873643</v>
      </c>
      <c r="L55" s="9">
        <f t="shared" si="8"/>
        <v>2.4886411257411569</v>
      </c>
      <c r="M55" s="9">
        <f t="shared" si="9"/>
        <v>7.1991812534462065</v>
      </c>
      <c r="N55" s="29">
        <f t="shared" si="17"/>
        <v>56.664250356724537</v>
      </c>
      <c r="O55" s="26">
        <f>1/(1+'Combined WACOC-Tax Table'!$F$13)^A55</f>
        <v>0.2392699852865639</v>
      </c>
      <c r="P55" s="18">
        <f t="shared" si="6"/>
        <v>13.558054349127653</v>
      </c>
      <c r="Q55" s="9">
        <f t="shared" si="10"/>
        <v>1113.1413394333788</v>
      </c>
      <c r="R55" s="6">
        <f t="shared" si="11"/>
        <v>5.6664250356724538E-2</v>
      </c>
      <c r="S55" s="17"/>
    </row>
    <row r="56" spans="1:19" x14ac:dyDescent="0.2">
      <c r="A56">
        <v>24</v>
      </c>
      <c r="C56" s="9">
        <f t="shared" si="12"/>
        <v>25</v>
      </c>
      <c r="D56" s="9">
        <f t="shared" si="13"/>
        <v>400</v>
      </c>
      <c r="E56" s="9">
        <f>HLOOKUP($E$12,'Combined WACOC-Tax Table'!$B$17:$E$58,A56+1)*$B$32</f>
        <v>0</v>
      </c>
      <c r="F56" s="9">
        <f t="shared" si="14"/>
        <v>-1.2434497875801753E-13</v>
      </c>
      <c r="G56" s="9">
        <f t="shared" si="7"/>
        <v>-6.2123629999999999</v>
      </c>
      <c r="H56" s="9">
        <f t="shared" si="15"/>
        <v>99.397807999999984</v>
      </c>
      <c r="I56" s="9">
        <f t="shared" si="16"/>
        <v>300.602192</v>
      </c>
      <c r="J56" s="9">
        <f>'Combined WACOC-Tax Table'!$D$10*I56</f>
        <v>0.19239721944803079</v>
      </c>
      <c r="K56" s="9">
        <f>I56*('Combined WACOC-Tax Table'!$D$11+'Combined WACOC-Tax Table'!$D$12)</f>
        <v>20.491299700586957</v>
      </c>
      <c r="L56" s="9">
        <f t="shared" si="8"/>
        <v>2.3422504712857948</v>
      </c>
      <c r="M56" s="9">
        <f t="shared" si="9"/>
        <v>6.7757000032434878</v>
      </c>
      <c r="N56" s="29">
        <f t="shared" si="17"/>
        <v>54.80164739456427</v>
      </c>
      <c r="O56" s="26">
        <f>1/(1+'Combined WACOC-Tax Table'!$F$13)^A56</f>
        <v>0.22484506660008269</v>
      </c>
      <c r="P56" s="18">
        <f t="shared" si="6"/>
        <v>12.321880058225052</v>
      </c>
      <c r="Q56" s="9">
        <f t="shared" si="10"/>
        <v>1125.4632194916039</v>
      </c>
      <c r="R56" s="6">
        <f t="shared" si="11"/>
        <v>5.4801647394564272E-2</v>
      </c>
      <c r="S56" s="17"/>
    </row>
    <row r="57" spans="1:19" x14ac:dyDescent="0.2">
      <c r="A57">
        <v>25</v>
      </c>
      <c r="C57" s="9">
        <f t="shared" si="12"/>
        <v>25</v>
      </c>
      <c r="D57" s="9">
        <f t="shared" si="13"/>
        <v>375</v>
      </c>
      <c r="E57" s="9">
        <f>HLOOKUP($E$12,'Combined WACOC-Tax Table'!$B$17:$E$58,A57+1)*$B$32</f>
        <v>0</v>
      </c>
      <c r="F57" s="9">
        <f t="shared" si="14"/>
        <v>-1.2434497875801753E-13</v>
      </c>
      <c r="G57" s="9">
        <f t="shared" si="7"/>
        <v>-6.2123629999999999</v>
      </c>
      <c r="H57" s="9">
        <f t="shared" si="15"/>
        <v>93.185444999999987</v>
      </c>
      <c r="I57" s="9">
        <f t="shared" si="16"/>
        <v>281.81455500000004</v>
      </c>
      <c r="J57" s="9">
        <f>'Combined WACOC-Tax Table'!$D$10*I57</f>
        <v>0.1803723932325289</v>
      </c>
      <c r="K57" s="9">
        <f>I57*('Combined WACOC-Tax Table'!$D$11+'Combined WACOC-Tax Table'!$D$12)</f>
        <v>19.210593469300274</v>
      </c>
      <c r="L57" s="9">
        <f t="shared" si="8"/>
        <v>2.1958598168304326</v>
      </c>
      <c r="M57" s="9">
        <f t="shared" si="9"/>
        <v>6.3522187530407708</v>
      </c>
      <c r="N57" s="29">
        <f t="shared" si="17"/>
        <v>52.93904443240401</v>
      </c>
      <c r="O57" s="26">
        <f>1/(1+'Combined WACOC-Tax Table'!$F$13)^A57</f>
        <v>0.211289785945561</v>
      </c>
      <c r="P57" s="18">
        <f t="shared" si="6"/>
        <v>11.185479366285186</v>
      </c>
      <c r="Q57" s="9">
        <f t="shared" si="10"/>
        <v>1136.648698857889</v>
      </c>
      <c r="R57" s="6">
        <f t="shared" si="11"/>
        <v>5.2939044432404013E-2</v>
      </c>
      <c r="S57" s="17"/>
    </row>
    <row r="58" spans="1:19" x14ac:dyDescent="0.2">
      <c r="A58">
        <v>26</v>
      </c>
      <c r="C58" s="9">
        <f t="shared" si="12"/>
        <v>25</v>
      </c>
      <c r="D58" s="9">
        <f t="shared" si="13"/>
        <v>350</v>
      </c>
      <c r="E58" s="9">
        <f>HLOOKUP($E$12,'Combined WACOC-Tax Table'!$B$17:$E$58,A58+1)*$B$32</f>
        <v>0</v>
      </c>
      <c r="F58" s="9">
        <f t="shared" si="14"/>
        <v>-1.2434497875801753E-13</v>
      </c>
      <c r="G58" s="9">
        <f t="shared" si="7"/>
        <v>-6.2123629999999999</v>
      </c>
      <c r="H58" s="9">
        <f t="shared" si="15"/>
        <v>86.973081999999991</v>
      </c>
      <c r="I58" s="9">
        <f t="shared" si="16"/>
        <v>263.02691800000002</v>
      </c>
      <c r="J58" s="9">
        <f>'Combined WACOC-Tax Table'!$D$10*I58</f>
        <v>0.16834756701702697</v>
      </c>
      <c r="K58" s="9">
        <f>I58*('Combined WACOC-Tax Table'!$D$11+'Combined WACOC-Tax Table'!$D$12)</f>
        <v>17.929887238013588</v>
      </c>
      <c r="L58" s="9">
        <f t="shared" si="8"/>
        <v>2.0494691623750705</v>
      </c>
      <c r="M58" s="9">
        <f t="shared" si="9"/>
        <v>5.928737502838052</v>
      </c>
      <c r="N58" s="29">
        <f t="shared" si="17"/>
        <v>51.076441470243736</v>
      </c>
      <c r="O58" s="26">
        <f>1/(1+'Combined WACOC-Tax Table'!$F$13)^A58</f>
        <v>0.19855171527656981</v>
      </c>
      <c r="P58" s="18">
        <f t="shared" si="6"/>
        <v>10.141315064140217</v>
      </c>
      <c r="Q58" s="9">
        <f t="shared" si="10"/>
        <v>1146.7900139220292</v>
      </c>
      <c r="R58" s="6">
        <f t="shared" si="11"/>
        <v>5.1076441470243733E-2</v>
      </c>
      <c r="S58" s="17"/>
    </row>
    <row r="59" spans="1:19" x14ac:dyDescent="0.2">
      <c r="A59">
        <v>27</v>
      </c>
      <c r="C59" s="9">
        <f t="shared" si="12"/>
        <v>25</v>
      </c>
      <c r="D59" s="9">
        <f t="shared" si="13"/>
        <v>325</v>
      </c>
      <c r="E59" s="9">
        <f>HLOOKUP($E$12,'Combined WACOC-Tax Table'!$B$17:$E$58,A59+1)*$B$32</f>
        <v>0</v>
      </c>
      <c r="F59" s="9">
        <f t="shared" si="14"/>
        <v>-1.2434497875801753E-13</v>
      </c>
      <c r="G59" s="9">
        <f t="shared" si="7"/>
        <v>-6.2123629999999999</v>
      </c>
      <c r="H59" s="9">
        <f t="shared" si="15"/>
        <v>80.760718999999995</v>
      </c>
      <c r="I59" s="9">
        <f t="shared" si="16"/>
        <v>244.23928100000001</v>
      </c>
      <c r="J59" s="9">
        <f>'Combined WACOC-Tax Table'!$D$10*I59</f>
        <v>0.15632274080152503</v>
      </c>
      <c r="K59" s="9">
        <f>I59*('Combined WACOC-Tax Table'!$D$11+'Combined WACOC-Tax Table'!$D$12)</f>
        <v>16.649181006726902</v>
      </c>
      <c r="L59" s="9">
        <f t="shared" si="8"/>
        <v>1.9030785079197081</v>
      </c>
      <c r="M59" s="9">
        <f t="shared" si="9"/>
        <v>5.5052562526353341</v>
      </c>
      <c r="N59" s="29">
        <f t="shared" si="17"/>
        <v>49.213838508083469</v>
      </c>
      <c r="O59" s="26">
        <f>1/(1+'Combined WACOC-Tax Table'!$F$13)^A59</f>
        <v>0.18658158728707006</v>
      </c>
      <c r="P59" s="18">
        <f t="shared" si="6"/>
        <v>9.1823961053277454</v>
      </c>
      <c r="Q59" s="9">
        <f t="shared" si="10"/>
        <v>1155.972410027357</v>
      </c>
      <c r="R59" s="6">
        <f t="shared" si="11"/>
        <v>4.9213838508083467E-2</v>
      </c>
      <c r="S59" s="17"/>
    </row>
    <row r="60" spans="1:19" x14ac:dyDescent="0.2">
      <c r="A60">
        <v>28</v>
      </c>
      <c r="C60" s="9">
        <f t="shared" si="12"/>
        <v>25</v>
      </c>
      <c r="D60" s="9">
        <f t="shared" si="13"/>
        <v>300</v>
      </c>
      <c r="E60" s="9">
        <f>HLOOKUP($E$12,'Combined WACOC-Tax Table'!$B$17:$E$58,A60+1)*$B$32</f>
        <v>0</v>
      </c>
      <c r="F60" s="9">
        <f t="shared" si="14"/>
        <v>-1.2434497875801753E-13</v>
      </c>
      <c r="G60" s="9">
        <f t="shared" si="7"/>
        <v>-6.2123629999999999</v>
      </c>
      <c r="H60" s="9">
        <f t="shared" si="15"/>
        <v>74.548355999999998</v>
      </c>
      <c r="I60" s="9">
        <f t="shared" si="16"/>
        <v>225.45164399999999</v>
      </c>
      <c r="J60" s="9">
        <f>'Combined WACOC-Tax Table'!$D$10*I60</f>
        <v>0.14429791458602309</v>
      </c>
      <c r="K60" s="9">
        <f>I60*('Combined WACOC-Tax Table'!$D$11+'Combined WACOC-Tax Table'!$D$12)</f>
        <v>15.368474775440218</v>
      </c>
      <c r="L60" s="9">
        <f t="shared" si="8"/>
        <v>1.756687853464346</v>
      </c>
      <c r="M60" s="9">
        <f t="shared" si="9"/>
        <v>5.0817750024326163</v>
      </c>
      <c r="N60" s="29">
        <f t="shared" si="17"/>
        <v>47.351235545923203</v>
      </c>
      <c r="O60" s="26">
        <f>1/(1+'Combined WACOC-Tax Table'!$F$13)^A60</f>
        <v>0.17533310485920861</v>
      </c>
      <c r="P60" s="18">
        <f t="shared" si="6"/>
        <v>8.3022391471864392</v>
      </c>
      <c r="Q60" s="9">
        <f t="shared" si="10"/>
        <v>1164.2746491745434</v>
      </c>
      <c r="R60" s="6">
        <f t="shared" si="11"/>
        <v>4.7351235545923201E-2</v>
      </c>
      <c r="S60" s="17"/>
    </row>
    <row r="61" spans="1:19" x14ac:dyDescent="0.2">
      <c r="A61">
        <v>29</v>
      </c>
      <c r="C61" s="9">
        <f t="shared" si="12"/>
        <v>25</v>
      </c>
      <c r="D61" s="9">
        <f t="shared" si="13"/>
        <v>275</v>
      </c>
      <c r="E61" s="9">
        <f>HLOOKUP($E$12,'Combined WACOC-Tax Table'!$B$17:$E$58,A61+1)*$B$32</f>
        <v>0</v>
      </c>
      <c r="F61" s="9">
        <f t="shared" si="14"/>
        <v>-1.2434497875801753E-13</v>
      </c>
      <c r="G61" s="9">
        <f t="shared" si="7"/>
        <v>-6.2123629999999999</v>
      </c>
      <c r="H61" s="9">
        <f t="shared" si="15"/>
        <v>68.335993000000002</v>
      </c>
      <c r="I61" s="9">
        <f t="shared" si="16"/>
        <v>206.664007</v>
      </c>
      <c r="J61" s="9">
        <f>'Combined WACOC-Tax Table'!$D$10*I61</f>
        <v>0.13227308837052118</v>
      </c>
      <c r="K61" s="9">
        <f>I61*('Combined WACOC-Tax Table'!$D$11+'Combined WACOC-Tax Table'!$D$12)</f>
        <v>14.087768544153533</v>
      </c>
      <c r="L61" s="9">
        <f t="shared" si="8"/>
        <v>1.6102971990089838</v>
      </c>
      <c r="M61" s="9">
        <f t="shared" si="9"/>
        <v>4.6582937522298984</v>
      </c>
      <c r="N61" s="29">
        <f t="shared" si="17"/>
        <v>45.488632583762936</v>
      </c>
      <c r="O61" s="26">
        <f>1/(1+'Combined WACOC-Tax Table'!$F$13)^A61</f>
        <v>0.16476276199897361</v>
      </c>
      <c r="P61" s="18">
        <f t="shared" si="6"/>
        <v>7.4948327440572884</v>
      </c>
      <c r="Q61" s="9">
        <f t="shared" si="10"/>
        <v>1171.7694819186006</v>
      </c>
      <c r="R61" s="6">
        <f t="shared" si="11"/>
        <v>4.5488632583762935E-2</v>
      </c>
      <c r="S61" s="17"/>
    </row>
    <row r="62" spans="1:19" x14ac:dyDescent="0.2">
      <c r="A62">
        <v>30</v>
      </c>
      <c r="C62" s="9">
        <f t="shared" si="12"/>
        <v>25</v>
      </c>
      <c r="D62" s="9">
        <f t="shared" si="13"/>
        <v>250</v>
      </c>
      <c r="E62" s="9">
        <f>HLOOKUP($E$12,'Combined WACOC-Tax Table'!$B$17:$E$58,A62+1)*$B$32</f>
        <v>0</v>
      </c>
      <c r="F62" s="9">
        <f t="shared" si="14"/>
        <v>-1.2434497875801753E-13</v>
      </c>
      <c r="G62" s="9">
        <f t="shared" si="7"/>
        <v>-6.2123629999999999</v>
      </c>
      <c r="H62" s="9">
        <f t="shared" si="15"/>
        <v>62.123630000000006</v>
      </c>
      <c r="I62" s="9">
        <f t="shared" si="16"/>
        <v>187.87637000000001</v>
      </c>
      <c r="J62" s="9">
        <f>'Combined WACOC-Tax Table'!$D$10*I62</f>
        <v>0.12024826215501926</v>
      </c>
      <c r="K62" s="9">
        <f>I62*('Combined WACOC-Tax Table'!$D$11+'Combined WACOC-Tax Table'!$D$12)</f>
        <v>12.807062312866849</v>
      </c>
      <c r="L62" s="9">
        <f t="shared" si="8"/>
        <v>1.4639065445536217</v>
      </c>
      <c r="M62" s="9">
        <f t="shared" si="9"/>
        <v>4.2348125020271805</v>
      </c>
      <c r="N62" s="29">
        <f t="shared" si="17"/>
        <v>43.626029621602676</v>
      </c>
      <c r="O62" s="26">
        <f>1/(1+'Combined WACOC-Tax Table'!$F$13)^A62</f>
        <v>0.15482967556713892</v>
      </c>
      <c r="P62" s="18">
        <f t="shared" si="6"/>
        <v>6.7546040125951343</v>
      </c>
      <c r="Q62" s="9">
        <f t="shared" si="10"/>
        <v>1178.5240859311957</v>
      </c>
      <c r="R62" s="6">
        <f t="shared" si="11"/>
        <v>4.3626029621602676E-2</v>
      </c>
      <c r="S62" s="17"/>
    </row>
    <row r="63" spans="1:19" x14ac:dyDescent="0.2">
      <c r="A63">
        <v>31</v>
      </c>
      <c r="C63" s="9">
        <f t="shared" si="12"/>
        <v>25</v>
      </c>
      <c r="D63" s="9">
        <f t="shared" si="13"/>
        <v>225</v>
      </c>
      <c r="E63" s="9">
        <f>HLOOKUP($E$12,'Combined WACOC-Tax Table'!$B$17:$E$58,A63+1)*$B$32</f>
        <v>0</v>
      </c>
      <c r="F63" s="9">
        <f t="shared" si="14"/>
        <v>-1.2434497875801753E-13</v>
      </c>
      <c r="G63" s="9">
        <f t="shared" si="7"/>
        <v>-6.2123629999999999</v>
      </c>
      <c r="H63" s="9">
        <f t="shared" si="15"/>
        <v>55.911267000000009</v>
      </c>
      <c r="I63" s="9">
        <f t="shared" ref="I63:I72" si="18">D63</f>
        <v>225</v>
      </c>
      <c r="J63" s="9">
        <f>'Combined WACOC-Tax Table'!$D$10*I63</f>
        <v>0.14400884467205391</v>
      </c>
      <c r="K63" s="9">
        <f>I63*('Combined WACOC-Tax Table'!$D$11+'Combined WACOC-Tax Table'!$D$12)</f>
        <v>15.337687333404626</v>
      </c>
      <c r="L63" s="9">
        <f t="shared" si="8"/>
        <v>1.3175158900982595</v>
      </c>
      <c r="M63" s="9">
        <f t="shared" si="9"/>
        <v>5.0715947564673272</v>
      </c>
      <c r="N63" s="29">
        <f t="shared" si="17"/>
        <v>46.870806824642266</v>
      </c>
      <c r="O63" s="26">
        <f>1/(1+'Combined WACOC-Tax Table'!$F$13)^A63</f>
        <v>0.1454954271546797</v>
      </c>
      <c r="P63" s="18">
        <f t="shared" si="6"/>
        <v>6.8194880600358028</v>
      </c>
      <c r="Q63" s="9">
        <f t="shared" si="10"/>
        <v>1185.3435739912316</v>
      </c>
      <c r="R63" s="6">
        <f t="shared" si="11"/>
        <v>4.6870806824642265E-2</v>
      </c>
      <c r="S63" s="17"/>
    </row>
    <row r="64" spans="1:19" x14ac:dyDescent="0.2">
      <c r="A64">
        <v>32</v>
      </c>
      <c r="C64" s="9">
        <f t="shared" si="12"/>
        <v>25</v>
      </c>
      <c r="D64" s="9">
        <f t="shared" si="13"/>
        <v>200</v>
      </c>
      <c r="E64" s="9">
        <f>HLOOKUP($E$12,'Combined WACOC-Tax Table'!$B$17:$E$58,A64+1)*$B$32</f>
        <v>0</v>
      </c>
      <c r="F64" s="9">
        <f t="shared" si="14"/>
        <v>-1.2434497875801753E-13</v>
      </c>
      <c r="G64" s="9">
        <f t="shared" si="7"/>
        <v>-6.2123629999999999</v>
      </c>
      <c r="H64" s="9">
        <f t="shared" si="15"/>
        <v>49.698904000000013</v>
      </c>
      <c r="I64" s="9">
        <f t="shared" si="18"/>
        <v>200</v>
      </c>
      <c r="J64" s="9">
        <f>'Combined WACOC-Tax Table'!$D$10*I64</f>
        <v>0.12800786193071459</v>
      </c>
      <c r="K64" s="9">
        <f>I64*('Combined WACOC-Tax Table'!$D$11+'Combined WACOC-Tax Table'!$D$12)</f>
        <v>13.633499851915223</v>
      </c>
      <c r="L64" s="9">
        <f t="shared" si="8"/>
        <v>1.1711252356428974</v>
      </c>
      <c r="M64" s="9">
        <f t="shared" si="9"/>
        <v>4.5080842279709579</v>
      </c>
      <c r="N64" s="29">
        <f t="shared" si="17"/>
        <v>44.440717177459788</v>
      </c>
      <c r="O64" s="26">
        <f>1/(1+'Combined WACOC-Tax Table'!$F$13)^A64</f>
        <v>0.13672391449107713</v>
      </c>
      <c r="P64" s="18">
        <f t="shared" si="6"/>
        <v>6.0761088152931544</v>
      </c>
      <c r="Q64" s="9">
        <f t="shared" si="10"/>
        <v>1191.4196828065246</v>
      </c>
      <c r="R64" s="6">
        <f t="shared" si="11"/>
        <v>4.4440717177459788E-2</v>
      </c>
      <c r="S64" s="17"/>
    </row>
    <row r="65" spans="1:19" x14ac:dyDescent="0.2">
      <c r="A65">
        <v>33</v>
      </c>
      <c r="C65" s="9">
        <f t="shared" si="12"/>
        <v>25</v>
      </c>
      <c r="D65" s="9">
        <f t="shared" si="13"/>
        <v>175</v>
      </c>
      <c r="E65" s="9">
        <f>HLOOKUP($E$12,'Combined WACOC-Tax Table'!$B$17:$E$58,A65+1)*$B$32</f>
        <v>0</v>
      </c>
      <c r="F65" s="9">
        <f t="shared" si="14"/>
        <v>-1.2434497875801753E-13</v>
      </c>
      <c r="G65" s="9">
        <f t="shared" si="7"/>
        <v>-6.2123629999999999</v>
      </c>
      <c r="H65" s="9">
        <f t="shared" si="15"/>
        <v>43.486541000000017</v>
      </c>
      <c r="I65" s="9">
        <f t="shared" si="18"/>
        <v>175</v>
      </c>
      <c r="J65" s="9">
        <f>'Combined WACOC-Tax Table'!$D$10*I65</f>
        <v>0.11200687918937527</v>
      </c>
      <c r="K65" s="9">
        <f>I65*('Combined WACOC-Tax Table'!$D$11+'Combined WACOC-Tax Table'!$D$12)</f>
        <v>11.929312370425821</v>
      </c>
      <c r="L65" s="9">
        <f t="shared" si="8"/>
        <v>1.0247345811875352</v>
      </c>
      <c r="M65" s="9">
        <f t="shared" si="9"/>
        <v>3.9445736994745886</v>
      </c>
      <c r="N65" s="29">
        <f t="shared" si="17"/>
        <v>42.010627530277326</v>
      </c>
      <c r="O65" s="26">
        <f>1/(1+'Combined WACOC-Tax Table'!$F$13)^A65</f>
        <v>0.12848121181080097</v>
      </c>
      <c r="P65" s="18">
        <f t="shared" si="6"/>
        <v>5.3975763340222276</v>
      </c>
      <c r="Q65" s="9">
        <f t="shared" si="10"/>
        <v>1196.8172591405469</v>
      </c>
      <c r="R65" s="6">
        <f t="shared" si="11"/>
        <v>4.2010627530277324E-2</v>
      </c>
      <c r="S65" s="17"/>
    </row>
    <row r="66" spans="1:19" x14ac:dyDescent="0.2">
      <c r="A66">
        <v>34</v>
      </c>
      <c r="C66" s="9">
        <f t="shared" si="12"/>
        <v>25</v>
      </c>
      <c r="D66" s="9">
        <f t="shared" si="13"/>
        <v>150</v>
      </c>
      <c r="E66" s="9">
        <f>HLOOKUP($E$12,'Combined WACOC-Tax Table'!$B$17:$E$58,A66+1)*$B$32</f>
        <v>0</v>
      </c>
      <c r="F66" s="9">
        <f t="shared" si="14"/>
        <v>-1.2434497875801753E-13</v>
      </c>
      <c r="G66" s="9">
        <f t="shared" si="7"/>
        <v>-6.2123629999999999</v>
      </c>
      <c r="H66" s="9">
        <f t="shared" si="15"/>
        <v>37.27417800000002</v>
      </c>
      <c r="I66" s="9">
        <f t="shared" si="18"/>
        <v>150</v>
      </c>
      <c r="J66" s="9">
        <f>'Combined WACOC-Tax Table'!$D$10*I66</f>
        <v>9.6005896448035949E-2</v>
      </c>
      <c r="K66" s="9">
        <f>I66*('Combined WACOC-Tax Table'!$D$11+'Combined WACOC-Tax Table'!$D$12)</f>
        <v>10.225124888936417</v>
      </c>
      <c r="L66" s="9">
        <f t="shared" si="8"/>
        <v>0.87834392673217299</v>
      </c>
      <c r="M66" s="9">
        <f t="shared" si="9"/>
        <v>3.3810631709782184</v>
      </c>
      <c r="N66" s="29">
        <f t="shared" si="17"/>
        <v>39.580537883094841</v>
      </c>
      <c r="O66" s="26">
        <f>1/(1+'Combined WACOC-Tax Table'!$F$13)^A66</f>
        <v>0.12073543863790712</v>
      </c>
      <c r="P66" s="18">
        <f t="shared" si="6"/>
        <v>4.7787736028397552</v>
      </c>
      <c r="Q66" s="9">
        <f t="shared" si="10"/>
        <v>1201.5960327433866</v>
      </c>
      <c r="R66" s="6">
        <f t="shared" si="11"/>
        <v>3.9580537883094839E-2</v>
      </c>
      <c r="S66" s="17"/>
    </row>
    <row r="67" spans="1:19" x14ac:dyDescent="0.2">
      <c r="A67">
        <v>35</v>
      </c>
      <c r="C67" s="9">
        <f t="shared" si="12"/>
        <v>25</v>
      </c>
      <c r="D67" s="9">
        <f t="shared" si="13"/>
        <v>125</v>
      </c>
      <c r="E67" s="9">
        <f>HLOOKUP($E$12,'Combined WACOC-Tax Table'!$B$17:$E$58,A67+1)*$B$32</f>
        <v>0</v>
      </c>
      <c r="F67" s="9">
        <f t="shared" si="14"/>
        <v>-1.2434497875801753E-13</v>
      </c>
      <c r="G67" s="9">
        <f t="shared" si="7"/>
        <v>-6.2123629999999999</v>
      </c>
      <c r="H67" s="9">
        <f t="shared" si="15"/>
        <v>31.061815000000021</v>
      </c>
      <c r="I67" s="9">
        <f t="shared" si="18"/>
        <v>125</v>
      </c>
      <c r="J67" s="9">
        <f>'Combined WACOC-Tax Table'!$D$10*I67</f>
        <v>8.0004913706696629E-2</v>
      </c>
      <c r="K67" s="9">
        <f>I67*('Combined WACOC-Tax Table'!$D$11+'Combined WACOC-Tax Table'!$D$12)</f>
        <v>8.5209374074470148</v>
      </c>
      <c r="L67" s="9">
        <f t="shared" si="8"/>
        <v>0.73195327227681084</v>
      </c>
      <c r="M67" s="9">
        <f t="shared" si="9"/>
        <v>2.8175526424818487</v>
      </c>
      <c r="N67" s="29">
        <f t="shared" si="17"/>
        <v>37.150448235912371</v>
      </c>
      <c r="O67" s="26">
        <f>1/(1+'Combined WACOC-Tax Table'!$F$13)^A67</f>
        <v>0.11345663648124457</v>
      </c>
      <c r="P67" s="18">
        <f t="shared" si="6"/>
        <v>4.2149649006172032</v>
      </c>
      <c r="Q67" s="9">
        <f t="shared" si="10"/>
        <v>1205.8109976440037</v>
      </c>
      <c r="R67" s="6">
        <f t="shared" si="11"/>
        <v>3.7150448235912369E-2</v>
      </c>
      <c r="S67" s="17"/>
    </row>
    <row r="68" spans="1:19" x14ac:dyDescent="0.2">
      <c r="A68">
        <v>36</v>
      </c>
      <c r="C68" s="9">
        <f t="shared" si="12"/>
        <v>25</v>
      </c>
      <c r="D68" s="9">
        <f t="shared" si="13"/>
        <v>100</v>
      </c>
      <c r="E68" s="9">
        <f>HLOOKUP($E$12,'Combined WACOC-Tax Table'!$B$17:$E$58,A68+1)*$B$32</f>
        <v>0</v>
      </c>
      <c r="F68" s="9">
        <f t="shared" si="14"/>
        <v>-1.2434497875801753E-13</v>
      </c>
      <c r="G68" s="9">
        <f t="shared" si="7"/>
        <v>-6.2123629999999999</v>
      </c>
      <c r="H68" s="9">
        <f t="shared" si="15"/>
        <v>24.849452000000021</v>
      </c>
      <c r="I68" s="9">
        <f t="shared" si="18"/>
        <v>100</v>
      </c>
      <c r="J68" s="9">
        <f>'Combined WACOC-Tax Table'!$D$10*I68</f>
        <v>6.4003930965357295E-2</v>
      </c>
      <c r="K68" s="9">
        <f>I68*('Combined WACOC-Tax Table'!$D$11+'Combined WACOC-Tax Table'!$D$12)</f>
        <v>6.8167499259576116</v>
      </c>
      <c r="L68" s="9">
        <f t="shared" si="8"/>
        <v>0.58556261782144869</v>
      </c>
      <c r="M68" s="9">
        <f t="shared" si="9"/>
        <v>2.2540421139854789</v>
      </c>
      <c r="N68" s="29">
        <f t="shared" si="17"/>
        <v>34.720358588729894</v>
      </c>
      <c r="O68" s="26">
        <f>1/(1+'Combined WACOC-Tax Table'!$F$13)^A68</f>
        <v>0.10661665296336408</v>
      </c>
      <c r="P68" s="18">
        <f t="shared" si="6"/>
        <v>3.7017684224181724</v>
      </c>
      <c r="Q68" s="9">
        <f t="shared" si="10"/>
        <v>1209.5127660664218</v>
      </c>
      <c r="R68" s="6">
        <f t="shared" si="11"/>
        <v>3.4720358588729891E-2</v>
      </c>
      <c r="S68" s="3"/>
    </row>
    <row r="69" spans="1:19" x14ac:dyDescent="0.2">
      <c r="A69">
        <v>37</v>
      </c>
      <c r="C69" s="9">
        <f t="shared" si="12"/>
        <v>25</v>
      </c>
      <c r="D69" s="9">
        <f t="shared" si="13"/>
        <v>75</v>
      </c>
      <c r="E69" s="9">
        <f>HLOOKUP($E$12,'Combined WACOC-Tax Table'!$B$17:$E$58,A69+1)*$B$32</f>
        <v>0</v>
      </c>
      <c r="F69" s="9">
        <f t="shared" si="14"/>
        <v>-1.2434497875801753E-13</v>
      </c>
      <c r="G69" s="9">
        <f t="shared" si="7"/>
        <v>-6.2123629999999999</v>
      </c>
      <c r="H69" s="9">
        <f t="shared" si="15"/>
        <v>18.637089000000021</v>
      </c>
      <c r="I69" s="9">
        <f t="shared" si="18"/>
        <v>75</v>
      </c>
      <c r="J69" s="9">
        <f>'Combined WACOC-Tax Table'!$D$10*I69</f>
        <v>4.8002948224017974E-2</v>
      </c>
      <c r="K69" s="9">
        <f>I69*('Combined WACOC-Tax Table'!$D$11+'Combined WACOC-Tax Table'!$D$12)</f>
        <v>5.1125624444682085</v>
      </c>
      <c r="L69" s="9">
        <f t="shared" si="8"/>
        <v>0.43917196336608649</v>
      </c>
      <c r="M69" s="9">
        <f t="shared" si="9"/>
        <v>1.6905315854891092</v>
      </c>
      <c r="N69" s="29">
        <f t="shared" si="17"/>
        <v>32.290268941547424</v>
      </c>
      <c r="O69" s="26">
        <f>1/(1+'Combined WACOC-Tax Table'!$F$13)^A69</f>
        <v>0.10018903293497067</v>
      </c>
      <c r="P69" s="18">
        <f t="shared" si="6"/>
        <v>3.2351308184637553</v>
      </c>
      <c r="Q69" s="9">
        <f t="shared" si="10"/>
        <v>1212.7478968848857</v>
      </c>
      <c r="R69" s="6">
        <f t="shared" si="11"/>
        <v>3.2290268941547427E-2</v>
      </c>
      <c r="S69" s="3"/>
    </row>
    <row r="70" spans="1:19" x14ac:dyDescent="0.2">
      <c r="A70">
        <v>38</v>
      </c>
      <c r="C70" s="9">
        <f t="shared" si="12"/>
        <v>25</v>
      </c>
      <c r="D70" s="9">
        <f t="shared" si="13"/>
        <v>50</v>
      </c>
      <c r="E70" s="9">
        <f>HLOOKUP($E$12,'Combined WACOC-Tax Table'!$B$17:$E$58,A70+1)*$B$32</f>
        <v>0</v>
      </c>
      <c r="F70" s="9">
        <f t="shared" si="14"/>
        <v>-1.2434497875801753E-13</v>
      </c>
      <c r="G70" s="9">
        <f t="shared" si="7"/>
        <v>-6.2123629999999999</v>
      </c>
      <c r="H70" s="9">
        <f t="shared" si="15"/>
        <v>12.424726000000021</v>
      </c>
      <c r="I70" s="9">
        <f t="shared" si="18"/>
        <v>50</v>
      </c>
      <c r="J70" s="9">
        <f>'Combined WACOC-Tax Table'!$D$10*I70</f>
        <v>3.2001965482678647E-2</v>
      </c>
      <c r="K70" s="9">
        <f>I70*('Combined WACOC-Tax Table'!$D$11+'Combined WACOC-Tax Table'!$D$12)</f>
        <v>3.4083749629788058</v>
      </c>
      <c r="L70" s="9">
        <f t="shared" si="8"/>
        <v>0.29278130891072435</v>
      </c>
      <c r="M70" s="9">
        <f t="shared" si="9"/>
        <v>1.1270210569927395</v>
      </c>
      <c r="N70" s="29">
        <f t="shared" si="17"/>
        <v>29.860179294364947</v>
      </c>
      <c r="O70" s="26">
        <f>1/(1+'Combined WACOC-Tax Table'!$F$13)^A70</f>
        <v>9.4148916153782E-2</v>
      </c>
      <c r="P70" s="18">
        <f t="shared" si="6"/>
        <v>2.8113035167220626</v>
      </c>
      <c r="Q70" s="9">
        <f t="shared" si="10"/>
        <v>1215.5592004016078</v>
      </c>
      <c r="R70" s="6">
        <f t="shared" si="11"/>
        <v>2.9860179294364946E-2</v>
      </c>
      <c r="S70" s="3"/>
    </row>
    <row r="71" spans="1:19" x14ac:dyDescent="0.2">
      <c r="A71">
        <v>39</v>
      </c>
      <c r="C71" s="9">
        <f t="shared" si="12"/>
        <v>25</v>
      </c>
      <c r="D71" s="9">
        <f t="shared" si="13"/>
        <v>25</v>
      </c>
      <c r="E71" s="9">
        <f>HLOOKUP($E$12,'Combined WACOC-Tax Table'!$B$17:$E$58,A71+1)*$B$32</f>
        <v>0</v>
      </c>
      <c r="F71" s="9">
        <f t="shared" si="14"/>
        <v>-1.2434497875801753E-13</v>
      </c>
      <c r="G71" s="9">
        <f t="shared" si="7"/>
        <v>-6.2123629999999999</v>
      </c>
      <c r="H71" s="9">
        <f t="shared" si="15"/>
        <v>6.2123630000000212</v>
      </c>
      <c r="I71" s="9">
        <f t="shared" si="18"/>
        <v>25</v>
      </c>
      <c r="J71" s="9">
        <f>'Combined WACOC-Tax Table'!$D$10*I71</f>
        <v>1.6000982741339324E-2</v>
      </c>
      <c r="K71" s="9">
        <f>I71*('Combined WACOC-Tax Table'!$D$11+'Combined WACOC-Tax Table'!$D$12)</f>
        <v>1.7041874814894029</v>
      </c>
      <c r="L71" s="9">
        <f t="shared" si="8"/>
        <v>0.14639065445536217</v>
      </c>
      <c r="M71" s="9">
        <f t="shared" si="9"/>
        <v>0.56351052849636973</v>
      </c>
      <c r="N71" s="29">
        <f t="shared" si="17"/>
        <v>27.430089647182474</v>
      </c>
      <c r="O71" s="26">
        <f>1/(1+'Combined WACOC-Tax Table'!$F$13)^A71</f>
        <v>8.847294113204196E-2</v>
      </c>
      <c r="P71" s="18">
        <f t="shared" si="6"/>
        <v>2.4268207066018088</v>
      </c>
      <c r="Q71" s="9">
        <f t="shared" si="10"/>
        <v>1217.9860211082096</v>
      </c>
      <c r="R71" s="6">
        <f t="shared" si="11"/>
        <v>2.7430089647182472E-2</v>
      </c>
      <c r="S71" s="3"/>
    </row>
    <row r="72" spans="1:19" x14ac:dyDescent="0.2">
      <c r="A72">
        <v>40</v>
      </c>
      <c r="C72" s="9">
        <f t="shared" si="12"/>
        <v>25</v>
      </c>
      <c r="D72" s="9">
        <f t="shared" si="13"/>
        <v>0</v>
      </c>
      <c r="E72" s="9">
        <f>HLOOKUP($E$12,'Combined WACOC-Tax Table'!$B$17:$E$58,A72+1)*$B$32</f>
        <v>0</v>
      </c>
      <c r="F72" s="9">
        <f t="shared" si="14"/>
        <v>-1.2434497875801753E-13</v>
      </c>
      <c r="G72" s="9">
        <f t="shared" si="7"/>
        <v>-6.2123629999999999</v>
      </c>
      <c r="H72" s="9">
        <f t="shared" si="15"/>
        <v>2.1316282072803006E-14</v>
      </c>
      <c r="I72" s="9">
        <f t="shared" si="18"/>
        <v>0</v>
      </c>
      <c r="J72" s="9">
        <f>'Combined WACOC-Tax Table'!$D$10*I72</f>
        <v>0</v>
      </c>
      <c r="K72" s="9">
        <f>I72*('Combined WACOC-Tax Table'!$D$11+'Combined WACOC-Tax Table'!$D$12)</f>
        <v>0</v>
      </c>
      <c r="L72" s="9">
        <f t="shared" si="8"/>
        <v>0</v>
      </c>
      <c r="M72" s="9">
        <f t="shared" si="9"/>
        <v>0</v>
      </c>
      <c r="N72" s="29">
        <f t="shared" si="17"/>
        <v>25</v>
      </c>
      <c r="O72" s="26">
        <f>1/(1+'Combined WACOC-Tax Table'!$F$13)^A72</f>
        <v>8.313915478079914E-2</v>
      </c>
      <c r="P72" s="18">
        <f t="shared" si="6"/>
        <v>2.0784788695199783</v>
      </c>
      <c r="Q72" s="9">
        <f t="shared" si="10"/>
        <v>1220.0644999777296</v>
      </c>
      <c r="R72" s="6">
        <f t="shared" si="11"/>
        <v>2.5000000000000001E-2</v>
      </c>
      <c r="S72" s="3"/>
    </row>
    <row r="74" spans="1:19" x14ac:dyDescent="0.2">
      <c r="I74" s="28" t="s">
        <v>47</v>
      </c>
      <c r="N74" s="15"/>
      <c r="P74" s="15">
        <f>SUM(P33:P73)</f>
        <v>1220.0644999777296</v>
      </c>
      <c r="Q74" s="15"/>
    </row>
    <row r="89" spans="9:16" x14ac:dyDescent="0.2">
      <c r="I89" s="28"/>
      <c r="P89" s="15"/>
    </row>
  </sheetData>
  <pageMargins left="0.75" right="0.75" top="0.66" bottom="0.89" header="0.5" footer="0.39"/>
  <pageSetup scale="73" fitToWidth="2" orientation="portrait" r:id="rId1"/>
  <headerFooter scaleWithDoc="0" alignWithMargins="0">
    <evenFooter xml:space="preserve">&amp;R&amp;12
</evenFooter>
    <firstFooter>&amp;R&amp;12Attachment 1
Page &amp;P of &amp;N</firstFooter>
  </headerFooter>
  <colBreaks count="1" manualBreakCount="1">
    <brk id="8" max="7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P56"/>
  <sheetViews>
    <sheetView zoomScaleNormal="100" zoomScaleSheetLayoutView="100" workbookViewId="0"/>
  </sheetViews>
  <sheetFormatPr defaultRowHeight="12.75" x14ac:dyDescent="0.2"/>
  <cols>
    <col min="1" max="1" width="18.5703125" customWidth="1"/>
    <col min="2" max="2" width="13.140625" customWidth="1"/>
    <col min="5" max="5" width="12.5703125" customWidth="1"/>
    <col min="6" max="6" width="10.28515625" customWidth="1"/>
  </cols>
  <sheetData>
    <row r="1" spans="1:16" ht="15" x14ac:dyDescent="0.25">
      <c r="G1" s="75" t="s">
        <v>84</v>
      </c>
      <c r="P1" s="75"/>
    </row>
    <row r="2" spans="1:16" ht="15" x14ac:dyDescent="0.25">
      <c r="G2" s="75" t="s">
        <v>90</v>
      </c>
      <c r="P2" s="75"/>
    </row>
    <row r="3" spans="1:16" ht="15" x14ac:dyDescent="0.2">
      <c r="A3" s="14" t="s">
        <v>49</v>
      </c>
      <c r="G3" s="23"/>
    </row>
    <row r="4" spans="1:16" x14ac:dyDescent="0.2">
      <c r="A4" s="2" t="s">
        <v>48</v>
      </c>
      <c r="G4" s="4"/>
    </row>
    <row r="5" spans="1:16" x14ac:dyDescent="0.2">
      <c r="A5" s="2"/>
      <c r="G5" s="24"/>
    </row>
    <row r="6" spans="1:16" x14ac:dyDescent="0.2">
      <c r="F6" s="24"/>
    </row>
    <row r="9" spans="1:16" x14ac:dyDescent="0.2">
      <c r="A9" s="14" t="s">
        <v>12</v>
      </c>
    </row>
    <row r="10" spans="1:16" x14ac:dyDescent="0.2">
      <c r="B10" s="14"/>
      <c r="C10" s="14"/>
      <c r="D10" s="13" t="s">
        <v>11</v>
      </c>
      <c r="F10" s="13" t="s">
        <v>10</v>
      </c>
    </row>
    <row r="11" spans="1:16" x14ac:dyDescent="0.2">
      <c r="B11" s="12" t="s">
        <v>9</v>
      </c>
      <c r="C11" s="12" t="s">
        <v>6</v>
      </c>
      <c r="D11" s="12" t="s">
        <v>8</v>
      </c>
      <c r="E11" s="12" t="s">
        <v>7</v>
      </c>
      <c r="F11" s="11" t="s">
        <v>6</v>
      </c>
    </row>
    <row r="12" spans="1:16" x14ac:dyDescent="0.2">
      <c r="A12" t="s">
        <v>54</v>
      </c>
      <c r="B12" s="6">
        <v>1.5299999999999999E-2</v>
      </c>
      <c r="C12" s="76">
        <v>9.425E-2</v>
      </c>
      <c r="D12" s="6">
        <f>C12*B12</f>
        <v>1.442025E-3</v>
      </c>
      <c r="E12" s="34">
        <v>0.24849452</v>
      </c>
      <c r="F12" s="6">
        <f>D12*(1-E12)</f>
        <v>1.083689689797E-3</v>
      </c>
    </row>
    <row r="13" spans="1:16" x14ac:dyDescent="0.2">
      <c r="A13" t="s">
        <v>55</v>
      </c>
      <c r="B13" s="6">
        <v>0.45340000000000003</v>
      </c>
      <c r="C13" s="6">
        <v>4.0399999999999998E-2</v>
      </c>
      <c r="D13" s="6">
        <f>B13*C13</f>
        <v>1.8317360000000001E-2</v>
      </c>
      <c r="E13" s="34">
        <f>E12</f>
        <v>0.24849452</v>
      </c>
      <c r="F13" s="6">
        <f>D13*(1-E13)</f>
        <v>1.3765596419132803E-2</v>
      </c>
    </row>
    <row r="14" spans="1:16" x14ac:dyDescent="0.2">
      <c r="A14" t="s">
        <v>5</v>
      </c>
      <c r="B14" s="8">
        <v>0.53129999999999999</v>
      </c>
      <c r="C14" s="8">
        <v>9.425E-2</v>
      </c>
      <c r="D14" s="8">
        <f>B14*C14</f>
        <v>5.0075025000000002E-2</v>
      </c>
      <c r="E14" s="34"/>
      <c r="F14" s="7">
        <f>D14/(1-E14)</f>
        <v>5.0075025000000002E-2</v>
      </c>
    </row>
    <row r="15" spans="1:16" x14ac:dyDescent="0.2">
      <c r="D15" s="3">
        <f>SUM(D12:D14)</f>
        <v>6.983441E-2</v>
      </c>
      <c r="F15" s="3">
        <f>SUM(F12:F14)</f>
        <v>6.4924311108929808E-2</v>
      </c>
    </row>
    <row r="17" spans="1:6" x14ac:dyDescent="0.2">
      <c r="B17" s="78" t="s">
        <v>4</v>
      </c>
      <c r="C17" s="78"/>
      <c r="D17" s="78"/>
      <c r="E17" s="78"/>
    </row>
    <row r="19" spans="1:6" x14ac:dyDescent="0.2">
      <c r="B19">
        <v>5</v>
      </c>
      <c r="D19">
        <v>15</v>
      </c>
      <c r="E19">
        <v>20</v>
      </c>
    </row>
    <row r="20" spans="1:6" x14ac:dyDescent="0.2">
      <c r="A20">
        <v>1</v>
      </c>
      <c r="B20" s="5">
        <v>0.2</v>
      </c>
      <c r="C20" s="5">
        <v>0.1</v>
      </c>
      <c r="D20" s="5">
        <v>0.05</v>
      </c>
      <c r="E20" s="5">
        <v>3.7499999999999999E-2</v>
      </c>
      <c r="F20" s="6"/>
    </row>
    <row r="21" spans="1:6" x14ac:dyDescent="0.2">
      <c r="A21">
        <v>2</v>
      </c>
      <c r="B21" s="5">
        <v>0.32</v>
      </c>
      <c r="C21" s="5">
        <v>0.18</v>
      </c>
      <c r="D21" s="5">
        <v>9.5000000000000001E-2</v>
      </c>
      <c r="E21" s="5">
        <v>7.2190000000000004E-2</v>
      </c>
      <c r="F21" s="6"/>
    </row>
    <row r="22" spans="1:6" x14ac:dyDescent="0.2">
      <c r="A22">
        <v>3</v>
      </c>
      <c r="B22" s="5">
        <v>0.192</v>
      </c>
      <c r="C22" s="5">
        <v>0.14399999999999999</v>
      </c>
      <c r="D22" s="5">
        <v>8.5500000000000007E-2</v>
      </c>
      <c r="E22" s="5">
        <v>6.6769999999999996E-2</v>
      </c>
      <c r="F22" s="6"/>
    </row>
    <row r="23" spans="1:6" x14ac:dyDescent="0.2">
      <c r="A23">
        <v>4</v>
      </c>
      <c r="B23" s="5">
        <v>0.1152</v>
      </c>
      <c r="C23" s="5">
        <v>0.1152</v>
      </c>
      <c r="D23" s="5">
        <v>7.6999999999999999E-2</v>
      </c>
      <c r="E23" s="5">
        <v>6.1769999999999999E-2</v>
      </c>
      <c r="F23" s="6"/>
    </row>
    <row r="24" spans="1:6" x14ac:dyDescent="0.2">
      <c r="A24">
        <v>5</v>
      </c>
      <c r="B24" s="5">
        <v>0.1152</v>
      </c>
      <c r="C24" s="5">
        <v>9.2200000000000004E-2</v>
      </c>
      <c r="D24" s="5">
        <v>6.93E-2</v>
      </c>
      <c r="E24" s="5">
        <v>5.713E-2</v>
      </c>
      <c r="F24" s="6"/>
    </row>
    <row r="25" spans="1:6" x14ac:dyDescent="0.2">
      <c r="A25">
        <v>6</v>
      </c>
      <c r="B25" s="5">
        <v>0</v>
      </c>
      <c r="C25" s="5">
        <v>7.3700000000000002E-2</v>
      </c>
      <c r="D25" s="5">
        <v>6.2300000000000001E-2</v>
      </c>
      <c r="E25" s="5">
        <v>5.2850000000000001E-2</v>
      </c>
      <c r="F25" s="6"/>
    </row>
    <row r="26" spans="1:6" x14ac:dyDescent="0.2">
      <c r="A26">
        <v>7</v>
      </c>
      <c r="B26" s="5">
        <v>0</v>
      </c>
      <c r="C26" s="5">
        <v>6.5500000000000003E-2</v>
      </c>
      <c r="D26" s="5">
        <v>5.8999999999999997E-2</v>
      </c>
      <c r="E26" s="5">
        <v>4.888E-2</v>
      </c>
      <c r="F26" s="6"/>
    </row>
    <row r="27" spans="1:6" x14ac:dyDescent="0.2">
      <c r="A27">
        <v>8</v>
      </c>
      <c r="B27" s="5">
        <v>0</v>
      </c>
      <c r="C27" s="5">
        <v>6.5500000000000003E-2</v>
      </c>
      <c r="D27" s="5">
        <v>5.8999999999999997E-2</v>
      </c>
      <c r="E27" s="5">
        <v>4.5220000000000003E-2</v>
      </c>
      <c r="F27" s="6"/>
    </row>
    <row r="28" spans="1:6" x14ac:dyDescent="0.2">
      <c r="A28">
        <v>9</v>
      </c>
      <c r="B28" s="5">
        <v>0</v>
      </c>
      <c r="C28" s="5">
        <v>6.5600000000000006E-2</v>
      </c>
      <c r="D28" s="5">
        <v>5.91E-2</v>
      </c>
      <c r="E28" s="5">
        <v>4.462E-2</v>
      </c>
      <c r="F28" s="6"/>
    </row>
    <row r="29" spans="1:6" x14ac:dyDescent="0.2">
      <c r="A29">
        <v>10</v>
      </c>
      <c r="B29" s="5">
        <v>0</v>
      </c>
      <c r="C29" s="5">
        <v>6.5500000000000003E-2</v>
      </c>
      <c r="D29" s="5">
        <v>5.8999999999999997E-2</v>
      </c>
      <c r="E29" s="5">
        <v>4.4609999999999997E-2</v>
      </c>
      <c r="F29" s="6"/>
    </row>
    <row r="30" spans="1:6" x14ac:dyDescent="0.2">
      <c r="A30">
        <v>11</v>
      </c>
      <c r="B30" s="5">
        <v>0</v>
      </c>
      <c r="C30" s="5">
        <v>0</v>
      </c>
      <c r="D30" s="5">
        <v>5.91E-2</v>
      </c>
      <c r="E30" s="5">
        <v>4.462E-2</v>
      </c>
      <c r="F30" s="6"/>
    </row>
    <row r="31" spans="1:6" x14ac:dyDescent="0.2">
      <c r="A31">
        <v>12</v>
      </c>
      <c r="B31" s="5">
        <v>0</v>
      </c>
      <c r="C31" s="5">
        <v>0</v>
      </c>
      <c r="D31" s="5">
        <v>5.8999999999999997E-2</v>
      </c>
      <c r="E31" s="5">
        <v>4.4609999999999997E-2</v>
      </c>
      <c r="F31" s="6"/>
    </row>
    <row r="32" spans="1:6" x14ac:dyDescent="0.2">
      <c r="A32">
        <v>13</v>
      </c>
      <c r="B32" s="5">
        <v>0</v>
      </c>
      <c r="C32" s="5">
        <v>0</v>
      </c>
      <c r="D32" s="5">
        <v>5.91E-2</v>
      </c>
      <c r="E32" s="5">
        <v>4.462E-2</v>
      </c>
      <c r="F32" s="6"/>
    </row>
    <row r="33" spans="1:6" x14ac:dyDescent="0.2">
      <c r="A33">
        <v>14</v>
      </c>
      <c r="B33" s="5">
        <v>0</v>
      </c>
      <c r="C33" s="5">
        <v>0</v>
      </c>
      <c r="D33" s="5">
        <v>5.8999999999999997E-2</v>
      </c>
      <c r="E33" s="5">
        <v>4.4609999999999997E-2</v>
      </c>
      <c r="F33" s="6"/>
    </row>
    <row r="34" spans="1:6" x14ac:dyDescent="0.2">
      <c r="A34">
        <v>15</v>
      </c>
      <c r="B34" s="5">
        <v>0</v>
      </c>
      <c r="C34" s="5">
        <v>0</v>
      </c>
      <c r="D34" s="5">
        <v>5.91E-2</v>
      </c>
      <c r="E34" s="5">
        <v>4.462E-2</v>
      </c>
      <c r="F34" s="6"/>
    </row>
    <row r="35" spans="1:6" x14ac:dyDescent="0.2">
      <c r="A35">
        <v>16</v>
      </c>
      <c r="B35" s="5">
        <v>0</v>
      </c>
      <c r="C35" s="5">
        <v>0</v>
      </c>
      <c r="D35" s="5">
        <v>2.9499999999999998E-2</v>
      </c>
      <c r="E35" s="5">
        <v>4.4609999999999997E-2</v>
      </c>
      <c r="F35" s="6"/>
    </row>
    <row r="36" spans="1:6" x14ac:dyDescent="0.2">
      <c r="A36">
        <v>17</v>
      </c>
      <c r="B36" s="5">
        <v>0</v>
      </c>
      <c r="C36" s="5">
        <v>0</v>
      </c>
      <c r="D36" s="5">
        <v>0</v>
      </c>
      <c r="E36" s="5">
        <v>4.462E-2</v>
      </c>
      <c r="F36" s="6"/>
    </row>
    <row r="37" spans="1:6" x14ac:dyDescent="0.2">
      <c r="A37">
        <v>18</v>
      </c>
      <c r="B37" s="5">
        <v>0</v>
      </c>
      <c r="C37" s="5">
        <v>0</v>
      </c>
      <c r="D37" s="5">
        <v>0</v>
      </c>
      <c r="E37" s="5">
        <v>4.4609999999999997E-2</v>
      </c>
      <c r="F37" s="6"/>
    </row>
    <row r="38" spans="1:6" x14ac:dyDescent="0.2">
      <c r="A38">
        <v>19</v>
      </c>
      <c r="B38" s="5">
        <v>0</v>
      </c>
      <c r="C38" s="5">
        <v>0</v>
      </c>
      <c r="D38" s="5">
        <v>0</v>
      </c>
      <c r="E38" s="5">
        <v>4.462E-2</v>
      </c>
      <c r="F38" s="6"/>
    </row>
    <row r="39" spans="1:6" x14ac:dyDescent="0.2">
      <c r="A39">
        <v>20</v>
      </c>
      <c r="B39" s="5">
        <v>0</v>
      </c>
      <c r="C39" s="5">
        <v>0</v>
      </c>
      <c r="D39" s="5">
        <v>0</v>
      </c>
      <c r="E39" s="5">
        <v>4.4609999999999997E-2</v>
      </c>
      <c r="F39" s="6"/>
    </row>
    <row r="40" spans="1:6" x14ac:dyDescent="0.2">
      <c r="A40">
        <v>21</v>
      </c>
      <c r="B40" s="5">
        <v>0</v>
      </c>
      <c r="C40" s="5">
        <v>0</v>
      </c>
      <c r="D40" s="5">
        <v>0</v>
      </c>
      <c r="E40" s="5">
        <v>2.231E-2</v>
      </c>
      <c r="F40" s="6"/>
    </row>
    <row r="41" spans="1:6" x14ac:dyDescent="0.2">
      <c r="A41">
        <v>22</v>
      </c>
      <c r="B41" s="5">
        <v>0</v>
      </c>
      <c r="C41" s="5">
        <v>0</v>
      </c>
      <c r="D41" s="5">
        <v>0</v>
      </c>
      <c r="E41" s="5">
        <v>0</v>
      </c>
    </row>
    <row r="42" spans="1:6" x14ac:dyDescent="0.2">
      <c r="A42">
        <v>23</v>
      </c>
      <c r="B42" s="5">
        <v>0</v>
      </c>
      <c r="C42" s="5">
        <v>0</v>
      </c>
      <c r="D42" s="5">
        <v>0</v>
      </c>
      <c r="E42" s="5">
        <v>0</v>
      </c>
    </row>
    <row r="43" spans="1:6" x14ac:dyDescent="0.2">
      <c r="A43">
        <v>24</v>
      </c>
      <c r="B43" s="5">
        <v>0</v>
      </c>
      <c r="C43" s="5">
        <v>0</v>
      </c>
      <c r="D43" s="5">
        <v>0</v>
      </c>
      <c r="E43" s="5">
        <v>0</v>
      </c>
    </row>
    <row r="44" spans="1:6" x14ac:dyDescent="0.2">
      <c r="A44">
        <v>25</v>
      </c>
      <c r="B44" s="5">
        <v>0</v>
      </c>
      <c r="C44" s="5">
        <v>0</v>
      </c>
      <c r="D44" s="5">
        <v>0</v>
      </c>
      <c r="E44" s="5">
        <v>0</v>
      </c>
    </row>
    <row r="45" spans="1:6" x14ac:dyDescent="0.2">
      <c r="A45">
        <v>26</v>
      </c>
      <c r="B45" s="5">
        <v>0</v>
      </c>
      <c r="C45" s="5">
        <v>0</v>
      </c>
      <c r="D45" s="5">
        <v>0</v>
      </c>
      <c r="E45" s="5">
        <v>0</v>
      </c>
    </row>
    <row r="46" spans="1:6" x14ac:dyDescent="0.2">
      <c r="A46">
        <v>27</v>
      </c>
      <c r="B46" s="5">
        <v>0</v>
      </c>
      <c r="C46" s="5">
        <v>0</v>
      </c>
      <c r="D46" s="5">
        <v>0</v>
      </c>
      <c r="E46" s="5">
        <v>0</v>
      </c>
    </row>
    <row r="47" spans="1:6" x14ac:dyDescent="0.2">
      <c r="A47">
        <v>28</v>
      </c>
      <c r="B47" s="5">
        <v>0</v>
      </c>
      <c r="C47" s="5">
        <v>0</v>
      </c>
      <c r="D47" s="5">
        <v>0</v>
      </c>
      <c r="E47" s="5">
        <v>0</v>
      </c>
    </row>
    <row r="48" spans="1:6" x14ac:dyDescent="0.2">
      <c r="A48">
        <v>29</v>
      </c>
      <c r="B48" s="5">
        <v>0</v>
      </c>
      <c r="C48" s="5">
        <v>0</v>
      </c>
      <c r="D48" s="5">
        <v>0</v>
      </c>
      <c r="E48" s="5">
        <v>0</v>
      </c>
    </row>
    <row r="49" spans="1:7" x14ac:dyDescent="0.2">
      <c r="A49">
        <v>30</v>
      </c>
      <c r="B49" s="5">
        <v>0</v>
      </c>
      <c r="C49" s="5">
        <v>0</v>
      </c>
      <c r="D49" s="5">
        <v>0</v>
      </c>
      <c r="E49" s="5">
        <v>0</v>
      </c>
    </row>
    <row r="50" spans="1:7" x14ac:dyDescent="0.2">
      <c r="B50" s="5"/>
      <c r="C50" s="5"/>
      <c r="D50" s="5"/>
      <c r="E50" s="5"/>
    </row>
    <row r="51" spans="1:7" x14ac:dyDescent="0.2">
      <c r="B51" s="5"/>
      <c r="C51" s="5"/>
      <c r="D51" s="5"/>
      <c r="E51" s="5"/>
    </row>
    <row r="55" spans="1:7" x14ac:dyDescent="0.2">
      <c r="G55" s="25"/>
    </row>
    <row r="56" spans="1:7" x14ac:dyDescent="0.2">
      <c r="G56" s="25"/>
    </row>
  </sheetData>
  <dataConsolidate/>
  <mergeCells count="1">
    <mergeCell ref="B17:E17"/>
  </mergeCells>
  <pageMargins left="0.75" right="0.75" top="0.66" bottom="0.89" header="0.5" footer="0.39"/>
  <pageSetup scale="98" orientation="portrait" r:id="rId1"/>
  <headerFooter scaleWithDoc="0" alignWithMargins="0">
    <evenFooter xml:space="preserve">&amp;R&amp;12
</evenFooter>
    <firstFooter>&amp;R&amp;12Attachment 1
Page &amp;P of &amp;N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G54"/>
  <sheetViews>
    <sheetView zoomScaleNormal="100" zoomScaleSheetLayoutView="100" workbookViewId="0"/>
  </sheetViews>
  <sheetFormatPr defaultRowHeight="12.75" x14ac:dyDescent="0.2"/>
  <cols>
    <col min="1" max="1" width="18.5703125" customWidth="1"/>
    <col min="2" max="2" width="13.140625" customWidth="1"/>
    <col min="4" max="4" width="9.7109375" bestFit="1" customWidth="1"/>
    <col min="5" max="5" width="12.5703125" customWidth="1"/>
    <col min="6" max="6" width="10.28515625" customWidth="1"/>
  </cols>
  <sheetData>
    <row r="1" spans="1:7" ht="15" x14ac:dyDescent="0.2">
      <c r="A1" s="14" t="s">
        <v>53</v>
      </c>
      <c r="G1" s="23"/>
    </row>
    <row r="2" spans="1:7" x14ac:dyDescent="0.2">
      <c r="A2" s="2" t="s">
        <v>48</v>
      </c>
      <c r="G2" s="4"/>
    </row>
    <row r="3" spans="1:7" x14ac:dyDescent="0.2">
      <c r="A3" s="2"/>
      <c r="G3" s="24"/>
    </row>
    <row r="4" spans="1:7" x14ac:dyDescent="0.2">
      <c r="F4" s="24"/>
    </row>
    <row r="7" spans="1:7" x14ac:dyDescent="0.2">
      <c r="A7" s="14" t="s">
        <v>12</v>
      </c>
    </row>
    <row r="8" spans="1:7" x14ac:dyDescent="0.2">
      <c r="B8" s="14"/>
      <c r="C8" s="14"/>
      <c r="D8" s="13" t="s">
        <v>11</v>
      </c>
      <c r="F8" s="13" t="s">
        <v>10</v>
      </c>
    </row>
    <row r="9" spans="1:7" x14ac:dyDescent="0.2">
      <c r="B9" s="12" t="s">
        <v>9</v>
      </c>
      <c r="C9" s="12" t="s">
        <v>6</v>
      </c>
      <c r="D9" s="12" t="s">
        <v>8</v>
      </c>
      <c r="E9" s="12" t="s">
        <v>7</v>
      </c>
      <c r="F9" s="11" t="s">
        <v>6</v>
      </c>
    </row>
    <row r="10" spans="1:7" x14ac:dyDescent="0.2">
      <c r="A10" t="s">
        <v>54</v>
      </c>
      <c r="B10" s="33">
        <f>WACOC!B30</f>
        <v>2.0903494648011875E-2</v>
      </c>
      <c r="C10" s="33">
        <f>WACOC!C30</f>
        <v>3.0618770709444364E-2</v>
      </c>
      <c r="D10" s="36">
        <f>B10*C10</f>
        <v>6.4003930965357298E-4</v>
      </c>
      <c r="E10" s="36">
        <f>WACOC!B38</f>
        <v>0.24840565995390054</v>
      </c>
      <c r="F10" s="33">
        <f>D10*(1-E10)</f>
        <v>4.8104992254263831E-4</v>
      </c>
    </row>
    <row r="11" spans="1:7" x14ac:dyDescent="0.2">
      <c r="A11" t="s">
        <v>55</v>
      </c>
      <c r="B11" s="33">
        <f>WACOC!B31</f>
        <v>0.44776873481613277</v>
      </c>
      <c r="C11" s="33">
        <f>WACOC!C31</f>
        <v>4.0399999999999998E-2</v>
      </c>
      <c r="D11" s="33">
        <f>B11*C11</f>
        <v>1.8089856886571762E-2</v>
      </c>
      <c r="E11" s="36">
        <f>E10</f>
        <v>0.24840565995390054</v>
      </c>
      <c r="F11" s="33">
        <f>D11*(1-E11)</f>
        <v>1.3596234048191292E-2</v>
      </c>
    </row>
    <row r="12" spans="1:7" x14ac:dyDescent="0.2">
      <c r="A12" t="s">
        <v>5</v>
      </c>
      <c r="B12" s="35">
        <f>WACOC!B32</f>
        <v>0.53132777053585523</v>
      </c>
      <c r="C12" s="55">
        <v>9.425E-2</v>
      </c>
      <c r="D12" s="35">
        <f>B12*C12</f>
        <v>5.0077642373004355E-2</v>
      </c>
      <c r="E12" s="36"/>
      <c r="F12" s="35">
        <f>D12/(1-E12)</f>
        <v>5.0077642373004355E-2</v>
      </c>
    </row>
    <row r="13" spans="1:7" x14ac:dyDescent="0.2">
      <c r="A13" s="31"/>
      <c r="B13" s="31"/>
      <c r="C13" s="31"/>
      <c r="D13" s="34">
        <f>SUM(D10:D12)</f>
        <v>6.8807538569229693E-2</v>
      </c>
      <c r="E13" s="31"/>
      <c r="F13" s="34">
        <f>SUM(F10:F12)</f>
        <v>6.4154926343738289E-2</v>
      </c>
    </row>
    <row r="15" spans="1:7" x14ac:dyDescent="0.2">
      <c r="B15" s="78" t="s">
        <v>4</v>
      </c>
      <c r="C15" s="78"/>
      <c r="D15" s="78"/>
      <c r="E15" s="78"/>
    </row>
    <row r="17" spans="1:6" x14ac:dyDescent="0.2">
      <c r="B17">
        <v>5</v>
      </c>
      <c r="D17">
        <v>15</v>
      </c>
      <c r="E17">
        <v>20</v>
      </c>
    </row>
    <row r="18" spans="1:6" x14ac:dyDescent="0.2">
      <c r="A18">
        <v>1</v>
      </c>
      <c r="B18" s="5">
        <v>0.2</v>
      </c>
      <c r="C18" s="5">
        <v>0.1</v>
      </c>
      <c r="D18" s="5">
        <v>0.05</v>
      </c>
      <c r="E18" s="5">
        <v>3.7499999999999999E-2</v>
      </c>
      <c r="F18" s="6"/>
    </row>
    <row r="19" spans="1:6" x14ac:dyDescent="0.2">
      <c r="A19">
        <v>2</v>
      </c>
      <c r="B19" s="5">
        <v>0.32</v>
      </c>
      <c r="C19" s="5">
        <v>0.18</v>
      </c>
      <c r="D19" s="5">
        <v>9.5000000000000001E-2</v>
      </c>
      <c r="E19" s="5">
        <v>7.2190000000000004E-2</v>
      </c>
      <c r="F19" s="6"/>
    </row>
    <row r="20" spans="1:6" x14ac:dyDescent="0.2">
      <c r="A20">
        <v>3</v>
      </c>
      <c r="B20" s="5">
        <v>0.192</v>
      </c>
      <c r="C20" s="5">
        <v>0.14399999999999999</v>
      </c>
      <c r="D20" s="5">
        <v>8.5500000000000007E-2</v>
      </c>
      <c r="E20" s="5">
        <v>6.6769999999999996E-2</v>
      </c>
      <c r="F20" s="6"/>
    </row>
    <row r="21" spans="1:6" x14ac:dyDescent="0.2">
      <c r="A21">
        <v>4</v>
      </c>
      <c r="B21" s="5">
        <v>0.1152</v>
      </c>
      <c r="C21" s="5">
        <v>0.1152</v>
      </c>
      <c r="D21" s="5">
        <v>7.6999999999999999E-2</v>
      </c>
      <c r="E21" s="5">
        <v>6.1769999999999999E-2</v>
      </c>
      <c r="F21" s="6"/>
    </row>
    <row r="22" spans="1:6" x14ac:dyDescent="0.2">
      <c r="A22">
        <v>5</v>
      </c>
      <c r="B22" s="5">
        <v>0.1152</v>
      </c>
      <c r="C22" s="5">
        <v>9.2200000000000004E-2</v>
      </c>
      <c r="D22" s="5">
        <v>6.93E-2</v>
      </c>
      <c r="E22" s="5">
        <v>5.713E-2</v>
      </c>
      <c r="F22" s="6"/>
    </row>
    <row r="23" spans="1:6" x14ac:dyDescent="0.2">
      <c r="A23">
        <v>6</v>
      </c>
      <c r="B23" s="5">
        <v>0</v>
      </c>
      <c r="C23" s="5">
        <v>7.3700000000000002E-2</v>
      </c>
      <c r="D23" s="5">
        <v>6.2300000000000001E-2</v>
      </c>
      <c r="E23" s="5">
        <v>5.2850000000000001E-2</v>
      </c>
      <c r="F23" s="6"/>
    </row>
    <row r="24" spans="1:6" x14ac:dyDescent="0.2">
      <c r="A24">
        <v>7</v>
      </c>
      <c r="B24" s="5">
        <v>0</v>
      </c>
      <c r="C24" s="5">
        <v>6.5500000000000003E-2</v>
      </c>
      <c r="D24" s="5">
        <v>5.8999999999999997E-2</v>
      </c>
      <c r="E24" s="5">
        <v>4.888E-2</v>
      </c>
      <c r="F24" s="6"/>
    </row>
    <row r="25" spans="1:6" x14ac:dyDescent="0.2">
      <c r="A25">
        <v>8</v>
      </c>
      <c r="B25" s="5">
        <v>0</v>
      </c>
      <c r="C25" s="5">
        <v>6.5500000000000003E-2</v>
      </c>
      <c r="D25" s="5">
        <v>5.8999999999999997E-2</v>
      </c>
      <c r="E25" s="5">
        <v>4.5220000000000003E-2</v>
      </c>
      <c r="F25" s="6"/>
    </row>
    <row r="26" spans="1:6" x14ac:dyDescent="0.2">
      <c r="A26">
        <v>9</v>
      </c>
      <c r="B26" s="5">
        <v>0</v>
      </c>
      <c r="C26" s="5">
        <v>6.5600000000000006E-2</v>
      </c>
      <c r="D26" s="5">
        <v>5.91E-2</v>
      </c>
      <c r="E26" s="5">
        <v>4.462E-2</v>
      </c>
      <c r="F26" s="6"/>
    </row>
    <row r="27" spans="1:6" x14ac:dyDescent="0.2">
      <c r="A27">
        <v>10</v>
      </c>
      <c r="B27" s="5">
        <v>0</v>
      </c>
      <c r="C27" s="5">
        <v>6.5500000000000003E-2</v>
      </c>
      <c r="D27" s="5">
        <v>5.8999999999999997E-2</v>
      </c>
      <c r="E27" s="5">
        <v>4.4609999999999997E-2</v>
      </c>
      <c r="F27" s="6"/>
    </row>
    <row r="28" spans="1:6" x14ac:dyDescent="0.2">
      <c r="A28">
        <v>11</v>
      </c>
      <c r="B28" s="5">
        <v>0</v>
      </c>
      <c r="C28" s="5">
        <v>0</v>
      </c>
      <c r="D28" s="5">
        <v>5.91E-2</v>
      </c>
      <c r="E28" s="5">
        <v>4.462E-2</v>
      </c>
      <c r="F28" s="6"/>
    </row>
    <row r="29" spans="1:6" x14ac:dyDescent="0.2">
      <c r="A29">
        <v>12</v>
      </c>
      <c r="B29" s="5">
        <v>0</v>
      </c>
      <c r="C29" s="5">
        <v>0</v>
      </c>
      <c r="D29" s="5">
        <v>5.8999999999999997E-2</v>
      </c>
      <c r="E29" s="5">
        <v>4.4609999999999997E-2</v>
      </c>
      <c r="F29" s="6"/>
    </row>
    <row r="30" spans="1:6" x14ac:dyDescent="0.2">
      <c r="A30">
        <v>13</v>
      </c>
      <c r="B30" s="5">
        <v>0</v>
      </c>
      <c r="C30" s="5">
        <v>0</v>
      </c>
      <c r="D30" s="5">
        <v>5.91E-2</v>
      </c>
      <c r="E30" s="5">
        <v>4.462E-2</v>
      </c>
      <c r="F30" s="6"/>
    </row>
    <row r="31" spans="1:6" x14ac:dyDescent="0.2">
      <c r="A31">
        <v>14</v>
      </c>
      <c r="B31" s="5">
        <v>0</v>
      </c>
      <c r="C31" s="5">
        <v>0</v>
      </c>
      <c r="D31" s="5">
        <v>5.8999999999999997E-2</v>
      </c>
      <c r="E31" s="5">
        <v>4.4609999999999997E-2</v>
      </c>
      <c r="F31" s="6"/>
    </row>
    <row r="32" spans="1:6" x14ac:dyDescent="0.2">
      <c r="A32">
        <v>15</v>
      </c>
      <c r="B32" s="5">
        <v>0</v>
      </c>
      <c r="C32" s="5">
        <v>0</v>
      </c>
      <c r="D32" s="5">
        <v>5.91E-2</v>
      </c>
      <c r="E32" s="5">
        <v>4.462E-2</v>
      </c>
      <c r="F32" s="6"/>
    </row>
    <row r="33" spans="1:6" x14ac:dyDescent="0.2">
      <c r="A33">
        <v>16</v>
      </c>
      <c r="B33" s="5">
        <v>0</v>
      </c>
      <c r="C33" s="5">
        <v>0</v>
      </c>
      <c r="D33" s="5">
        <v>2.9499999999999998E-2</v>
      </c>
      <c r="E33" s="5">
        <v>4.4609999999999997E-2</v>
      </c>
      <c r="F33" s="6"/>
    </row>
    <row r="34" spans="1:6" x14ac:dyDescent="0.2">
      <c r="A34">
        <v>17</v>
      </c>
      <c r="B34" s="5">
        <v>0</v>
      </c>
      <c r="C34" s="5">
        <v>0</v>
      </c>
      <c r="D34" s="5">
        <v>0</v>
      </c>
      <c r="E34" s="5">
        <v>4.462E-2</v>
      </c>
      <c r="F34" s="6"/>
    </row>
    <row r="35" spans="1:6" x14ac:dyDescent="0.2">
      <c r="A35">
        <v>18</v>
      </c>
      <c r="B35" s="5">
        <v>0</v>
      </c>
      <c r="C35" s="5">
        <v>0</v>
      </c>
      <c r="D35" s="5">
        <v>0</v>
      </c>
      <c r="E35" s="5">
        <v>4.4609999999999997E-2</v>
      </c>
      <c r="F35" s="6"/>
    </row>
    <row r="36" spans="1:6" x14ac:dyDescent="0.2">
      <c r="A36">
        <v>19</v>
      </c>
      <c r="B36" s="5">
        <v>0</v>
      </c>
      <c r="C36" s="5">
        <v>0</v>
      </c>
      <c r="D36" s="5">
        <v>0</v>
      </c>
      <c r="E36" s="5">
        <v>4.462E-2</v>
      </c>
      <c r="F36" s="6"/>
    </row>
    <row r="37" spans="1:6" x14ac:dyDescent="0.2">
      <c r="A37">
        <v>20</v>
      </c>
      <c r="B37" s="5">
        <v>0</v>
      </c>
      <c r="C37" s="5">
        <v>0</v>
      </c>
      <c r="D37" s="5">
        <v>0</v>
      </c>
      <c r="E37" s="5">
        <v>4.4609999999999997E-2</v>
      </c>
      <c r="F37" s="6"/>
    </row>
    <row r="38" spans="1:6" x14ac:dyDescent="0.2">
      <c r="A38">
        <v>21</v>
      </c>
      <c r="B38" s="5">
        <v>0</v>
      </c>
      <c r="C38" s="5">
        <v>0</v>
      </c>
      <c r="D38" s="5">
        <v>0</v>
      </c>
      <c r="E38" s="5">
        <v>2.231E-2</v>
      </c>
      <c r="F38" s="6"/>
    </row>
    <row r="39" spans="1:6" x14ac:dyDescent="0.2">
      <c r="A39">
        <v>22</v>
      </c>
      <c r="B39" s="5">
        <v>0</v>
      </c>
      <c r="C39" s="5">
        <v>0</v>
      </c>
      <c r="D39" s="5">
        <v>0</v>
      </c>
      <c r="E39" s="5">
        <v>0</v>
      </c>
    </row>
    <row r="40" spans="1:6" x14ac:dyDescent="0.2">
      <c r="A40">
        <v>23</v>
      </c>
      <c r="B40" s="5">
        <v>0</v>
      </c>
      <c r="C40" s="5">
        <v>0</v>
      </c>
      <c r="D40" s="5">
        <v>0</v>
      </c>
      <c r="E40" s="5">
        <v>0</v>
      </c>
    </row>
    <row r="41" spans="1:6" x14ac:dyDescent="0.2">
      <c r="A41">
        <v>24</v>
      </c>
      <c r="B41" s="5">
        <v>0</v>
      </c>
      <c r="C41" s="5">
        <v>0</v>
      </c>
      <c r="D41" s="5">
        <v>0</v>
      </c>
      <c r="E41" s="5">
        <v>0</v>
      </c>
    </row>
    <row r="42" spans="1:6" x14ac:dyDescent="0.2">
      <c r="A42">
        <v>25</v>
      </c>
      <c r="B42" s="5">
        <v>0</v>
      </c>
      <c r="C42" s="5">
        <v>0</v>
      </c>
      <c r="D42" s="5">
        <v>0</v>
      </c>
      <c r="E42" s="5">
        <v>0</v>
      </c>
    </row>
    <row r="43" spans="1:6" x14ac:dyDescent="0.2">
      <c r="A43">
        <v>26</v>
      </c>
      <c r="B43" s="5">
        <v>0</v>
      </c>
      <c r="C43" s="5">
        <v>0</v>
      </c>
      <c r="D43" s="5">
        <v>0</v>
      </c>
      <c r="E43" s="5">
        <v>0</v>
      </c>
    </row>
    <row r="44" spans="1:6" x14ac:dyDescent="0.2">
      <c r="A44">
        <v>27</v>
      </c>
      <c r="B44" s="5">
        <v>0</v>
      </c>
      <c r="C44" s="5">
        <v>0</v>
      </c>
      <c r="D44" s="5">
        <v>0</v>
      </c>
      <c r="E44" s="5">
        <v>0</v>
      </c>
    </row>
    <row r="45" spans="1:6" x14ac:dyDescent="0.2">
      <c r="A45">
        <v>28</v>
      </c>
      <c r="B45" s="5">
        <v>0</v>
      </c>
      <c r="C45" s="5">
        <v>0</v>
      </c>
      <c r="D45" s="5">
        <v>0</v>
      </c>
      <c r="E45" s="5">
        <v>0</v>
      </c>
    </row>
    <row r="46" spans="1:6" x14ac:dyDescent="0.2">
      <c r="A46">
        <v>29</v>
      </c>
      <c r="B46" s="5">
        <v>0</v>
      </c>
      <c r="C46" s="5">
        <v>0</v>
      </c>
      <c r="D46" s="5">
        <v>0</v>
      </c>
      <c r="E46" s="5">
        <v>0</v>
      </c>
    </row>
    <row r="47" spans="1:6" x14ac:dyDescent="0.2">
      <c r="A47">
        <v>30</v>
      </c>
      <c r="B47" s="5">
        <v>0</v>
      </c>
      <c r="C47" s="5">
        <v>0</v>
      </c>
      <c r="D47" s="5">
        <v>0</v>
      </c>
      <c r="E47" s="5">
        <v>0</v>
      </c>
    </row>
    <row r="48" spans="1:6" x14ac:dyDescent="0.2">
      <c r="B48" s="5"/>
      <c r="C48" s="5"/>
      <c r="D48" s="5"/>
      <c r="E48" s="5"/>
    </row>
    <row r="49" spans="2:7" x14ac:dyDescent="0.2">
      <c r="B49" s="5"/>
      <c r="C49" s="5"/>
      <c r="D49" s="5"/>
      <c r="E49" s="5"/>
    </row>
    <row r="53" spans="2:7" x14ac:dyDescent="0.2">
      <c r="G53" s="25"/>
    </row>
    <row r="54" spans="2:7" x14ac:dyDescent="0.2">
      <c r="G54" s="25"/>
    </row>
  </sheetData>
  <mergeCells count="1">
    <mergeCell ref="B15:E1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C1C3F-63DB-4DA8-8BD6-60B98029BCBF}">
  <sheetPr>
    <tabColor rgb="FF00B050"/>
    <pageSetUpPr fitToPage="1"/>
  </sheetPr>
  <dimension ref="A1:J38"/>
  <sheetViews>
    <sheetView zoomScaleNormal="100" workbookViewId="0">
      <selection sqref="A1:D1"/>
    </sheetView>
  </sheetViews>
  <sheetFormatPr defaultColWidth="8.85546875" defaultRowHeight="15" x14ac:dyDescent="0.25"/>
  <cols>
    <col min="1" max="1" width="24.140625" style="38" customWidth="1"/>
    <col min="2" max="4" width="17.5703125" style="38" customWidth="1"/>
    <col min="5" max="5" width="8.85546875" style="38"/>
    <col min="6" max="6" width="15.140625" style="38" bestFit="1" customWidth="1"/>
    <col min="7" max="7" width="16.7109375" style="38" customWidth="1"/>
    <col min="8" max="8" width="17.85546875" style="38" bestFit="1" customWidth="1"/>
    <col min="9" max="16384" width="8.85546875" style="38"/>
  </cols>
  <sheetData>
    <row r="1" spans="1:8" ht="15.75" x14ac:dyDescent="0.25">
      <c r="A1" s="79" t="s">
        <v>56</v>
      </c>
      <c r="B1" s="79"/>
      <c r="C1" s="79"/>
      <c r="D1" s="79"/>
    </row>
    <row r="2" spans="1:8" ht="15.75" x14ac:dyDescent="0.25">
      <c r="A2" s="80" t="s">
        <v>57</v>
      </c>
      <c r="B2" s="80"/>
      <c r="C2" s="80"/>
      <c r="D2" s="80"/>
    </row>
    <row r="3" spans="1:8" ht="15.75" x14ac:dyDescent="0.25">
      <c r="A3" s="39"/>
      <c r="B3" s="39"/>
      <c r="C3" s="39"/>
      <c r="D3" s="39"/>
    </row>
    <row r="4" spans="1:8" ht="15.75" x14ac:dyDescent="0.25">
      <c r="A4" s="39"/>
      <c r="B4" s="39"/>
      <c r="C4" s="39"/>
      <c r="D4" s="39"/>
    </row>
    <row r="5" spans="1:8" ht="16.5" thickBot="1" x14ac:dyDescent="0.3">
      <c r="A5" s="39"/>
      <c r="B5" s="39"/>
      <c r="C5" s="39"/>
      <c r="D5" s="39"/>
    </row>
    <row r="6" spans="1:8" ht="15.75" thickBot="1" x14ac:dyDescent="0.3">
      <c r="A6" s="81" t="s">
        <v>58</v>
      </c>
      <c r="B6" s="82"/>
      <c r="C6" s="82"/>
      <c r="D6" s="83"/>
    </row>
    <row r="7" spans="1:8" x14ac:dyDescent="0.25">
      <c r="A7" s="40"/>
      <c r="D7" s="41" t="s">
        <v>11</v>
      </c>
    </row>
    <row r="8" spans="1:8" x14ac:dyDescent="0.25">
      <c r="B8" s="40"/>
      <c r="C8" s="40"/>
      <c r="D8" s="41" t="s">
        <v>59</v>
      </c>
    </row>
    <row r="9" spans="1:8" ht="15.75" thickBot="1" x14ac:dyDescent="0.3">
      <c r="A9" s="42" t="s">
        <v>60</v>
      </c>
      <c r="B9" s="43" t="s">
        <v>9</v>
      </c>
      <c r="C9" s="43" t="s">
        <v>6</v>
      </c>
      <c r="D9" s="43" t="s">
        <v>61</v>
      </c>
    </row>
    <row r="10" spans="1:8" x14ac:dyDescent="0.25">
      <c r="A10" s="38" t="s">
        <v>67</v>
      </c>
      <c r="B10" s="44">
        <f>'KU WACOC-Tax Table'!B10</f>
        <v>2.4549999999999999E-2</v>
      </c>
      <c r="C10" s="44">
        <f>'KU WACOC-Tax Table'!C10</f>
        <v>4.5999999999999999E-3</v>
      </c>
      <c r="D10" s="52">
        <f>C10*B10</f>
        <v>1.1292999999999999E-4</v>
      </c>
      <c r="F10" s="56">
        <v>130691964.91929673</v>
      </c>
      <c r="G10" s="45">
        <f>F10*C10</f>
        <v>601183.03862876492</v>
      </c>
      <c r="H10" s="45"/>
    </row>
    <row r="11" spans="1:8" x14ac:dyDescent="0.25">
      <c r="A11" s="38" t="s">
        <v>62</v>
      </c>
      <c r="B11" s="44">
        <f>'KU WACOC-Tax Table'!B11</f>
        <v>0.44407000000000002</v>
      </c>
      <c r="C11" s="44">
        <f>'KU WACOC-Tax Table'!C11</f>
        <v>4.0399999999999998E-2</v>
      </c>
      <c r="D11" s="52">
        <f>B11*C11</f>
        <v>1.7940428000000001E-2</v>
      </c>
      <c r="F11" s="56">
        <v>2363551548.3790774</v>
      </c>
      <c r="G11" s="45">
        <f t="shared" ref="G11:G12" si="0">F11*C11</f>
        <v>95487482.554514721</v>
      </c>
      <c r="H11" s="45"/>
    </row>
    <row r="12" spans="1:8" ht="15.75" thickBot="1" x14ac:dyDescent="0.3">
      <c r="A12" s="38" t="s">
        <v>5</v>
      </c>
      <c r="B12" s="46">
        <f>'KU WACOC-Tax Table'!B12</f>
        <v>0.53137000000000001</v>
      </c>
      <c r="C12" s="76">
        <v>9.425E-2</v>
      </c>
      <c r="D12" s="53">
        <f>B12*C12</f>
        <v>5.0081622499999999E-2</v>
      </c>
      <c r="F12" s="56">
        <v>2828180486.0401421</v>
      </c>
      <c r="G12" s="45">
        <f t="shared" si="0"/>
        <v>266556010.80928338</v>
      </c>
      <c r="H12" s="45"/>
    </row>
    <row r="13" spans="1:8" x14ac:dyDescent="0.25">
      <c r="B13" s="47"/>
      <c r="C13" s="47"/>
      <c r="D13" s="52">
        <f>SUM(D10:D12)</f>
        <v>6.8134980499999998E-2</v>
      </c>
      <c r="F13" s="48">
        <f>SUM(F10:F12)</f>
        <v>5322423999.3385162</v>
      </c>
      <c r="G13" s="38">
        <f>((F13)/($F$13+$F$23))*D13</f>
        <v>4.116893518109381E-2</v>
      </c>
      <c r="H13" s="38">
        <f>((F12)/($F$12+$F$22))*B37</f>
        <v>0.15015902900614639</v>
      </c>
    </row>
    <row r="15" spans="1:8" ht="15.75" thickBot="1" x14ac:dyDescent="0.3"/>
    <row r="16" spans="1:8" ht="15.75" thickBot="1" x14ac:dyDescent="0.3">
      <c r="A16" s="81" t="s">
        <v>63</v>
      </c>
      <c r="B16" s="82"/>
      <c r="C16" s="82"/>
      <c r="D16" s="83"/>
    </row>
    <row r="17" spans="1:10" x14ac:dyDescent="0.25">
      <c r="A17" s="40"/>
      <c r="D17" s="41" t="s">
        <v>11</v>
      </c>
    </row>
    <row r="18" spans="1:10" x14ac:dyDescent="0.25">
      <c r="B18" s="40"/>
      <c r="C18" s="40"/>
      <c r="D18" s="41" t="s">
        <v>59</v>
      </c>
    </row>
    <row r="19" spans="1:10" ht="15.75" thickBot="1" x14ac:dyDescent="0.3">
      <c r="A19" s="42" t="s">
        <v>60</v>
      </c>
      <c r="B19" s="43" t="s">
        <v>9</v>
      </c>
      <c r="C19" s="43" t="s">
        <v>6</v>
      </c>
      <c r="D19" s="43" t="s">
        <v>61</v>
      </c>
    </row>
    <row r="20" spans="1:10" x14ac:dyDescent="0.25">
      <c r="A20" s="38" t="s">
        <v>67</v>
      </c>
      <c r="B20" s="44">
        <f>'LGE WACOC-Tax Table'!B12</f>
        <v>1.5299999999999999E-2</v>
      </c>
      <c r="C20" s="44">
        <f>'LGE WACOC-Tax Table'!C12</f>
        <v>9.425E-2</v>
      </c>
      <c r="D20" s="44">
        <f>B20*C20</f>
        <v>1.442025E-3</v>
      </c>
      <c r="F20" s="56">
        <v>53439864.461437233</v>
      </c>
      <c r="G20" s="48">
        <f>F20*C20</f>
        <v>5036707.2254904592</v>
      </c>
      <c r="H20" s="45"/>
    </row>
    <row r="21" spans="1:10" x14ac:dyDescent="0.25">
      <c r="A21" s="38" t="s">
        <v>62</v>
      </c>
      <c r="B21" s="44">
        <f>'LGE WACOC-Tax Table'!B13</f>
        <v>0.45340000000000003</v>
      </c>
      <c r="C21" s="44">
        <f>'LGE WACOC-Tax Table'!C13</f>
        <v>4.0399999999999998E-2</v>
      </c>
      <c r="D21" s="44">
        <f>B21*C21</f>
        <v>1.8317360000000001E-2</v>
      </c>
      <c r="F21" s="56">
        <v>1580692113.7223177</v>
      </c>
      <c r="G21" s="48">
        <f t="shared" ref="G21:G22" si="1">F21*C21</f>
        <v>63859961.394381635</v>
      </c>
      <c r="H21" s="45"/>
    </row>
    <row r="22" spans="1:10" ht="15.75" thickBot="1" x14ac:dyDescent="0.3">
      <c r="A22" s="38" t="s">
        <v>5</v>
      </c>
      <c r="B22" s="46">
        <f>'LGE WACOC-Tax Table'!B14</f>
        <v>0.53129999999999999</v>
      </c>
      <c r="C22" s="46">
        <f>'LGE WACOC-Tax Table'!C14</f>
        <v>9.425E-2</v>
      </c>
      <c r="D22" s="46">
        <f>B22*C22</f>
        <v>5.0075025000000002E-2</v>
      </c>
      <c r="F22" s="56">
        <v>1852106520.3652139</v>
      </c>
      <c r="G22" s="48">
        <f t="shared" si="1"/>
        <v>174561039.5444214</v>
      </c>
      <c r="H22" s="45"/>
    </row>
    <row r="23" spans="1:10" x14ac:dyDescent="0.25">
      <c r="D23" s="49">
        <f>SUM(D20:D22)</f>
        <v>6.983441E-2</v>
      </c>
      <c r="F23" s="48">
        <f>SUM(F20:F22)</f>
        <v>3486238498.5489688</v>
      </c>
      <c r="G23" s="38">
        <f>((F23)/($F$13+$F$23))*D23</f>
        <v>2.7638635118991117E-2</v>
      </c>
      <c r="H23" s="38">
        <f>((F22)/($F$12+$F$22))*B36</f>
        <v>9.8246630947754154E-2</v>
      </c>
    </row>
    <row r="24" spans="1:10" x14ac:dyDescent="0.25">
      <c r="G24" s="50"/>
    </row>
    <row r="25" spans="1:10" ht="15.75" thickBot="1" x14ac:dyDescent="0.3"/>
    <row r="26" spans="1:10" ht="15.75" thickBot="1" x14ac:dyDescent="0.3">
      <c r="A26" s="81" t="s">
        <v>64</v>
      </c>
      <c r="B26" s="82"/>
      <c r="C26" s="82"/>
      <c r="D26" s="83"/>
    </row>
    <row r="27" spans="1:10" x14ac:dyDescent="0.25">
      <c r="A27" s="40"/>
      <c r="D27" s="41" t="s">
        <v>11</v>
      </c>
    </row>
    <row r="28" spans="1:10" x14ac:dyDescent="0.25">
      <c r="B28" s="40"/>
      <c r="C28" s="40"/>
      <c r="D28" s="41" t="s">
        <v>59</v>
      </c>
    </row>
    <row r="29" spans="1:10" ht="15.75" thickBot="1" x14ac:dyDescent="0.3">
      <c r="A29" s="42" t="s">
        <v>60</v>
      </c>
      <c r="B29" s="43" t="s">
        <v>9</v>
      </c>
      <c r="C29" s="43" t="s">
        <v>6</v>
      </c>
      <c r="D29" s="43" t="s">
        <v>61</v>
      </c>
    </row>
    <row r="30" spans="1:10" x14ac:dyDescent="0.25">
      <c r="A30" s="38" t="s">
        <v>67</v>
      </c>
      <c r="B30" s="52">
        <f>F30/$F$33</f>
        <v>2.0903494648011875E-2</v>
      </c>
      <c r="C30" s="52">
        <f>H30/F30</f>
        <v>3.0618770709444364E-2</v>
      </c>
      <c r="D30" s="44">
        <f>B30*C30</f>
        <v>6.4003930965357298E-4</v>
      </c>
      <c r="F30" s="48">
        <f>F20+F10</f>
        <v>184131829.38073397</v>
      </c>
      <c r="G30" s="51">
        <f>F30/$F$33</f>
        <v>2.0903494648011875E-2</v>
      </c>
      <c r="H30" s="48">
        <f>G10+G20</f>
        <v>5637890.2641192246</v>
      </c>
      <c r="I30" s="38">
        <f>H30/F30</f>
        <v>3.0618770709444364E-2</v>
      </c>
      <c r="J30" s="38">
        <f>G30*I30</f>
        <v>6.4003930965357298E-4</v>
      </c>
    </row>
    <row r="31" spans="1:10" x14ac:dyDescent="0.25">
      <c r="A31" s="38" t="s">
        <v>62</v>
      </c>
      <c r="B31" s="52">
        <f>F31/$F$33</f>
        <v>0.44776873481613277</v>
      </c>
      <c r="C31" s="52">
        <f>H31/F31</f>
        <v>4.0399999999999998E-2</v>
      </c>
      <c r="D31" s="44">
        <f>B31*C31</f>
        <v>1.8089856886571762E-2</v>
      </c>
      <c r="F31" s="48">
        <f t="shared" ref="F31:F32" si="2">F21+F11</f>
        <v>3944243662.1013951</v>
      </c>
      <c r="G31" s="51">
        <f t="shared" ref="G31:G32" si="3">F31/$F$33</f>
        <v>0.44776873481613277</v>
      </c>
      <c r="H31" s="48">
        <f t="shared" ref="H31:H32" si="4">G11+G21</f>
        <v>159347443.94889635</v>
      </c>
      <c r="I31" s="38">
        <f t="shared" ref="I31:I32" si="5">H31/F31</f>
        <v>4.0399999999999998E-2</v>
      </c>
      <c r="J31" s="38">
        <f t="shared" ref="J31:J32" si="6">G31*I31</f>
        <v>1.8089856886571762E-2</v>
      </c>
    </row>
    <row r="32" spans="1:10" ht="15.75" thickBot="1" x14ac:dyDescent="0.3">
      <c r="A32" s="38" t="s">
        <v>5</v>
      </c>
      <c r="B32" s="53">
        <f>F32/$F$33</f>
        <v>0.53132777053585523</v>
      </c>
      <c r="C32" s="53">
        <f>H32/F32</f>
        <v>9.4250000000000014E-2</v>
      </c>
      <c r="D32" s="46">
        <f>B32*C32</f>
        <v>5.0077642373004362E-2</v>
      </c>
      <c r="F32" s="48">
        <f t="shared" si="2"/>
        <v>4680287006.4053555</v>
      </c>
      <c r="G32" s="51">
        <f t="shared" si="3"/>
        <v>0.53132777053585523</v>
      </c>
      <c r="H32" s="48">
        <f t="shared" si="4"/>
        <v>441117050.35370481</v>
      </c>
      <c r="I32" s="38">
        <f t="shared" si="5"/>
        <v>9.4250000000000014E-2</v>
      </c>
      <c r="J32" s="38">
        <f t="shared" si="6"/>
        <v>5.0077642373004362E-2</v>
      </c>
    </row>
    <row r="33" spans="1:10" x14ac:dyDescent="0.25">
      <c r="B33" s="49">
        <f>SUM(B30:B32)</f>
        <v>0.99999999999999989</v>
      </c>
      <c r="D33" s="49">
        <f>SUM(D30:D32)</f>
        <v>6.8807538569229693E-2</v>
      </c>
      <c r="F33" s="48">
        <f>SUM(F30:F32)</f>
        <v>8808662497.8874855</v>
      </c>
      <c r="G33" s="54">
        <f>SUM(G30:G32)</f>
        <v>0.99999999999999989</v>
      </c>
      <c r="J33" s="38">
        <f>SUM(J30:J32)</f>
        <v>6.8807538569229693E-2</v>
      </c>
    </row>
    <row r="35" spans="1:10" x14ac:dyDescent="0.25">
      <c r="A35" s="38" t="s">
        <v>65</v>
      </c>
    </row>
    <row r="36" spans="1:10" x14ac:dyDescent="0.25">
      <c r="A36" s="38" t="s">
        <v>51</v>
      </c>
      <c r="B36" s="52">
        <f>'KU WACOC-Tax Table'!E10</f>
        <v>0.24826997000000001</v>
      </c>
    </row>
    <row r="37" spans="1:10" x14ac:dyDescent="0.25">
      <c r="A37" s="38" t="s">
        <v>52</v>
      </c>
      <c r="B37" s="52">
        <f>'LGE WACOC-Tax Table'!E12</f>
        <v>0.24849452</v>
      </c>
    </row>
    <row r="38" spans="1:10" x14ac:dyDescent="0.25">
      <c r="A38" s="38" t="s">
        <v>66</v>
      </c>
      <c r="B38" s="52">
        <f>SUM(H13:H23)</f>
        <v>0.24840565995390054</v>
      </c>
    </row>
  </sheetData>
  <mergeCells count="5">
    <mergeCell ref="A1:D1"/>
    <mergeCell ref="A2:D2"/>
    <mergeCell ref="A6:D6"/>
    <mergeCell ref="A16:D16"/>
    <mergeCell ref="A26:D2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8" ma:contentTypeDescription="Create a new document." ma:contentTypeScope="" ma:versionID="fea57edea9a9507671266a2a8deae77f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4d396819d558486687834482d26417ec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evington, John"/>
          <xsd:enumeration value="Blake, Kent W."/>
          <xsd:enumeration value="Conroy, Robert M."/>
          <xsd:enumeration value="Fackler, Andrea"/>
          <xsd:enumeration value="Garrett, Christopher M."/>
          <xsd:enumeration value="Hornung, Michael E."/>
          <xsd:enumeration value="Leichty, Douglas A."/>
          <xsd:enumeration value="Lovekamp, Rick E."/>
          <xsd:enumeration value="McCombs, Drew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Billing Determinants"/>
          <xsd:enumeration value="Cost of Service"/>
          <xsd:enumeration value="Jurisdictional Separation Study"/>
          <xsd:enumeration value="Errata"/>
          <xsd:enumeration value="Base Period Update - Jurisdictional Separation Study"/>
          <xsd:enumeration value="Base Period Update - Revenue Requirement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DR07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022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888B8512-8BDB-4BBB-BC7D-A9593CB933CA}"/>
</file>

<file path=customXml/itemProps2.xml><?xml version="1.0" encoding="utf-8"?>
<ds:datastoreItem xmlns:ds="http://schemas.openxmlformats.org/officeDocument/2006/customXml" ds:itemID="{CF47E4FC-7373-4CF8-A7C9-1AF8D74C2B49}"/>
</file>

<file path=customXml/itemProps3.xml><?xml version="1.0" encoding="utf-8"?>
<ds:datastoreItem xmlns:ds="http://schemas.openxmlformats.org/officeDocument/2006/customXml" ds:itemID="{D546BC9A-EFD6-450A-9672-F88D50976412}"/>
</file>

<file path=customXml/itemProps4.xml><?xml version="1.0" encoding="utf-8"?>
<ds:datastoreItem xmlns:ds="http://schemas.openxmlformats.org/officeDocument/2006/customXml" ds:itemID="{83CF96C1-6837-4FCE-B156-FE63EB3A9A8D}"/>
</file>

<file path=customXml/itemProps5.xml><?xml version="1.0" encoding="utf-8"?>
<ds:datastoreItem xmlns:ds="http://schemas.openxmlformats.org/officeDocument/2006/customXml" ds:itemID="{F48C59E4-8A28-4168-9982-35286E5762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Distribution Avoided Cap Cost</vt:lpstr>
      <vt:lpstr>KU  PVRR</vt:lpstr>
      <vt:lpstr>KU WACOC-Tax Table</vt:lpstr>
      <vt:lpstr>LGE PVRR</vt:lpstr>
      <vt:lpstr>LGE WACOC-Tax Table</vt:lpstr>
      <vt:lpstr>Combined WACOC-Tax Table</vt:lpstr>
      <vt:lpstr>WACOC</vt:lpstr>
      <vt:lpstr>'Distribution Avoided Cap Cost'!Print_Area</vt:lpstr>
      <vt:lpstr>'KU  PVRR'!Print_Area</vt:lpstr>
      <vt:lpstr>'KU WACOC-Tax Table'!Print_Area</vt:lpstr>
      <vt:lpstr>'LGE PVRR'!Print_Area</vt:lpstr>
      <vt:lpstr>'LGE WACOC-Tax Table'!Print_Area</vt:lpstr>
      <vt:lpstr>WACOC!Print_Area</vt:lpstr>
      <vt:lpstr>'KU  PVRR'!Print_Titles</vt:lpstr>
      <vt:lpstr>'LGE PVRR'!Print_Titles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2021-07-28T20:26:02Z</dcterms:created>
  <dcterms:modified xsi:type="dcterms:W3CDTF">2021-07-28T20:29:50Z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