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914758BE-E4B2-4B54-9EC7-3988618720C8}" xr6:coauthVersionLast="45" xr6:coauthVersionMax="45" xr10:uidLastSave="{00000000-0000-0000-0000-000000000000}"/>
  <bookViews>
    <workbookView xWindow="38280" yWindow="-120" windowWidth="38640" windowHeight="23640" xr2:uid="{01416DAD-ECF4-4EBD-A05A-365FD9E43A90}"/>
  </bookViews>
  <sheets>
    <sheet name="KU Disconnect-Reconnect Charge" sheetId="5" r:id="rId1"/>
    <sheet name="LGE Disconnect-Reconnect Charge" sheetId="7" r:id="rId2"/>
    <sheet name="Cost Per Order Type Field Ser" sheetId="4" r:id="rId3"/>
  </sheets>
  <externalReferences>
    <externalReference r:id="rId4"/>
    <externalReference r:id="rId5"/>
  </externalReferences>
  <definedNames>
    <definedName name="_xlnm.Print_Area" localSheetId="2">'Cost Per Order Type Field Ser'!$A$1:$H$40</definedName>
    <definedName name="WACC" localSheetId="2">'[1]LookUp Ranges'!$L$12</definedName>
    <definedName name="WACC">'[2]LookUp Ranges'!$L$12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7" l="1"/>
  <c r="B49" i="7"/>
  <c r="C44" i="7"/>
  <c r="C46" i="7" s="1"/>
  <c r="B44" i="7"/>
  <c r="D42" i="7"/>
  <c r="F42" i="7" s="1"/>
  <c r="D18" i="7"/>
  <c r="B18" i="7"/>
  <c r="E10" i="7"/>
  <c r="E18" i="7" s="1"/>
  <c r="E10" i="5"/>
  <c r="B49" i="5"/>
  <c r="D49" i="5" s="1"/>
  <c r="C44" i="5"/>
  <c r="C46" i="5" s="1"/>
  <c r="C51" i="5" s="1"/>
  <c r="D51" i="5" s="1"/>
  <c r="B44" i="5"/>
  <c r="D44" i="5" s="1"/>
  <c r="D42" i="5"/>
  <c r="F42" i="5" s="1"/>
  <c r="D46" i="7" l="1"/>
  <c r="D51" i="7"/>
  <c r="D52" i="7" s="1"/>
  <c r="F52" i="7" s="1"/>
  <c r="D44" i="7"/>
  <c r="D50" i="7"/>
  <c r="D45" i="5"/>
  <c r="D50" i="5"/>
  <c r="D52" i="5" s="1"/>
  <c r="F52" i="5" s="1"/>
  <c r="D46" i="5"/>
  <c r="D47" i="5" s="1"/>
  <c r="F47" i="5" s="1"/>
  <c r="F54" i="5" l="1"/>
  <c r="G10" i="5" s="1"/>
  <c r="D45" i="7"/>
  <c r="D47" i="7" s="1"/>
  <c r="C10" i="5" l="1"/>
  <c r="F47" i="7"/>
  <c r="F54" i="7" s="1"/>
  <c r="C10" i="7" s="1"/>
  <c r="C18" i="7" s="1"/>
  <c r="D54" i="7"/>
  <c r="G10" i="7" l="1"/>
  <c r="E18" i="5" l="1"/>
  <c r="D18" i="5"/>
  <c r="C18" i="5"/>
  <c r="B18" i="5"/>
  <c r="D32" i="4"/>
  <c r="C32" i="4"/>
  <c r="B32" i="4"/>
  <c r="E31" i="4"/>
  <c r="D37" i="4" s="1"/>
  <c r="E30" i="4"/>
  <c r="D36" i="4" s="1"/>
  <c r="C25" i="4"/>
  <c r="B4" i="4" s="1"/>
  <c r="B25" i="4"/>
  <c r="D24" i="4"/>
  <c r="D23" i="4"/>
  <c r="D22" i="4"/>
  <c r="D21" i="4"/>
  <c r="D20" i="4"/>
  <c r="E11" i="4"/>
  <c r="E17" i="5" s="1"/>
  <c r="D11" i="4"/>
  <c r="D17" i="5" s="1"/>
  <c r="E10" i="4"/>
  <c r="D10" i="4"/>
  <c r="B3" i="4"/>
  <c r="D25" i="4" l="1"/>
  <c r="B36" i="4"/>
  <c r="D12" i="4"/>
  <c r="D17" i="7"/>
  <c r="D19" i="7" s="1"/>
  <c r="E12" i="4"/>
  <c r="E17" i="7"/>
  <c r="E19" i="7" s="1"/>
  <c r="E36" i="4"/>
  <c r="D19" i="5"/>
  <c r="E19" i="5"/>
  <c r="D38" i="4"/>
  <c r="E32" i="4"/>
  <c r="E38" i="4" s="1"/>
  <c r="E37" i="4"/>
  <c r="C36" i="4"/>
  <c r="D4" i="4" s="1"/>
  <c r="C4" i="4" s="1"/>
  <c r="E4" i="4" s="1"/>
  <c r="B11" i="4" s="1"/>
  <c r="C37" i="4"/>
  <c r="D3" i="4" s="1"/>
  <c r="C3" i="4" s="1"/>
  <c r="E3" i="4" s="1"/>
  <c r="B10" i="4" s="1"/>
  <c r="B17" i="7" s="1"/>
  <c r="B37" i="4"/>
  <c r="B19" i="7" l="1"/>
  <c r="F19" i="7" s="1"/>
  <c r="F10" i="7" s="1"/>
  <c r="H10" i="7" s="1"/>
  <c r="H12" i="7" s="1"/>
  <c r="F17" i="7"/>
  <c r="F11" i="4"/>
  <c r="B17" i="5"/>
  <c r="B19" i="5" s="1"/>
  <c r="F19" i="5" s="1"/>
  <c r="F10" i="5" s="1"/>
  <c r="H10" i="5" s="1"/>
  <c r="H12" i="5" s="1"/>
  <c r="F10" i="4"/>
  <c r="B12" i="4"/>
  <c r="F12" i="4" s="1"/>
  <c r="C38" i="4"/>
  <c r="F3" i="4"/>
  <c r="C10" i="4" s="1"/>
  <c r="C17" i="7" s="1"/>
  <c r="B38" i="4"/>
  <c r="F4" i="4"/>
  <c r="C11" i="4" s="1"/>
  <c r="C19" i="7" l="1"/>
  <c r="G19" i="7" s="1"/>
  <c r="G17" i="7"/>
  <c r="H17" i="7" s="1"/>
  <c r="H19" i="7" s="1"/>
  <c r="G11" i="4"/>
  <c r="H11" i="4" s="1"/>
  <c r="C17" i="5"/>
  <c r="C19" i="5" s="1"/>
  <c r="G19" i="5" s="1"/>
  <c r="H19" i="5" s="1"/>
  <c r="H21" i="5" s="1"/>
  <c r="G10" i="4"/>
  <c r="H10" i="4" s="1"/>
  <c r="C12" i="4"/>
  <c r="G12" i="4" s="1"/>
  <c r="H12" i="4" s="1"/>
</calcChain>
</file>

<file path=xl/sharedStrings.xml><?xml version="1.0" encoding="utf-8"?>
<sst xmlns="http://schemas.openxmlformats.org/spreadsheetml/2006/main" count="171" uniqueCount="90">
  <si>
    <t>MARCH 2019 - FEBRUARY 2020   EXPENSES</t>
  </si>
  <si>
    <t>Total Cost</t>
  </si>
  <si>
    <t>Service %</t>
  </si>
  <si>
    <t>Credit %</t>
  </si>
  <si>
    <t>Service $</t>
  </si>
  <si>
    <t>Credit $</t>
  </si>
  <si>
    <t>LGE</t>
  </si>
  <si>
    <t>KU</t>
  </si>
  <si>
    <t>Burdened Costs by Order Type</t>
  </si>
  <si>
    <t>Mobile Retail Reporting (techs only)</t>
  </si>
  <si>
    <t>Cost per Order Type</t>
  </si>
  <si>
    <t>Total Cost For Credit Order</t>
  </si>
  <si>
    <t># Srv Ords</t>
  </si>
  <si>
    <t># Cred Ords</t>
  </si>
  <si>
    <t>$ / Srv Ord</t>
  </si>
  <si>
    <t>$ / Crd Ord</t>
  </si>
  <si>
    <t>GRAND TOTALS</t>
  </si>
  <si>
    <t>Data Source for Calculations</t>
  </si>
  <si>
    <t>Sum of amount</t>
  </si>
  <si>
    <t>Column Labels</t>
  </si>
  <si>
    <t>Row Labels</t>
  </si>
  <si>
    <t>Grand Total</t>
  </si>
  <si>
    <t>FIELD SERVICES KU</t>
  </si>
  <si>
    <t>FIELD SERVICES LGE</t>
  </si>
  <si>
    <t>LGE Loaned DO to Metering</t>
  </si>
  <si>
    <t>Loaned DO to Metering</t>
  </si>
  <si>
    <t>FIELD SERVICES-LGE</t>
  </si>
  <si>
    <t>Sum of Field</t>
  </si>
  <si>
    <t>SERVICE</t>
  </si>
  <si>
    <t>CREDIT</t>
  </si>
  <si>
    <t>ADJUSTMENT</t>
  </si>
  <si>
    <t>Kentucky Utilities Compan</t>
  </si>
  <si>
    <t>Louisville Gas &amp; Electric</t>
  </si>
  <si>
    <t>Below Shows the Pecentage of Orders</t>
  </si>
  <si>
    <t>Percentages</t>
  </si>
  <si>
    <t xml:space="preserve"> </t>
  </si>
  <si>
    <t>Louisville Gas and Electric Company</t>
  </si>
  <si>
    <t>Disconnect/Reconnect Charge</t>
  </si>
  <si>
    <t>Based on Costs and Events from March 2019 - February 2020</t>
  </si>
  <si>
    <t># of Service Orders</t>
  </si>
  <si>
    <t># of Credit Orders</t>
  </si>
  <si>
    <t>Estimated Costs for Normal Hour Disconnect/Reconnect</t>
  </si>
  <si>
    <t>$ / Service Order</t>
  </si>
  <si>
    <t>$ / Credit Order</t>
  </si>
  <si>
    <t>Total Cost For Normal Hours Credit Order</t>
  </si>
  <si>
    <t>Kentucky Utilities Company</t>
  </si>
  <si>
    <t>Total Cost For Afterhours Credit Order</t>
  </si>
  <si>
    <t>NOTES:</t>
  </si>
  <si>
    <t>Total Cost For Normal Business Hours and Afterhours Credit Order</t>
  </si>
  <si>
    <t>Inflation Factor</t>
  </si>
  <si>
    <t>Inflated Cost 2021</t>
  </si>
  <si>
    <t>Rate</t>
  </si>
  <si>
    <t>Hours</t>
  </si>
  <si>
    <t>Total</t>
  </si>
  <si>
    <t>Burdens</t>
  </si>
  <si>
    <t>Transportation</t>
  </si>
  <si>
    <t>Average Labor and Transportation Costs</t>
  </si>
  <si>
    <t>a. Employee labor is relatively flat between first and second shift.</t>
  </si>
  <si>
    <t>Estimated Employee Callout</t>
  </si>
  <si>
    <t>b. If performed by employee still on clock then overtime rate is actual time at time and one half.</t>
  </si>
  <si>
    <t>c. If performed by employee called out from home then minimum of 3 hour overtime per contract at time and one half.</t>
  </si>
  <si>
    <t>Average overtime rate for Contractor per hour (Contractor rate includes transportation)</t>
  </si>
  <si>
    <t>Weight</t>
  </si>
  <si>
    <t>Total KU Labor and transportation for All Service Orders</t>
  </si>
  <si>
    <t>Estimated Costs for All Service Area Disconnect and Reconnect in Metro Louisville  Service Area excluding Weekends in Metro Louisville Service Area</t>
  </si>
  <si>
    <t>Total LG&amp;E Labor and transportation for All Service Orders</t>
  </si>
  <si>
    <t xml:space="preserve">Less After hour reconnects outside of Metro Louisville and Weekends inside of Metro Louisville Service Territory </t>
  </si>
  <si>
    <t>Estimated Cost of Afterhours Disconnect/Reconnect Outside of Metro Louisville Service Area and Weekends in Metro Louisville Service Area</t>
  </si>
  <si>
    <t>2. LG&amp;E Metro Louisville service territory operate both a first and second shift.</t>
  </si>
  <si>
    <t>3. Reconnects in the LG&amp;E Metro Louisville service territory weekday afterhours costs the same as those performed during normal business hours.</t>
  </si>
  <si>
    <t>4. Outside of the LG&amp;E Metro Louisville service territory afterhours reconnects and weekend Louisville service territory reconnects.</t>
  </si>
  <si>
    <t>a. Management estimates:</t>
  </si>
  <si>
    <t xml:space="preserve">Total LG&amp;E Labor and Transportation </t>
  </si>
  <si>
    <t>Total KU Labor and Transportation</t>
  </si>
  <si>
    <t>b. Contract labor costs are fixed, these do not fluctuate due to time or hours worked.</t>
  </si>
  <si>
    <t xml:space="preserve">Less After hour reconnects outside of Lexington, Versailles, Georgetown, and Wilmore and Weekends inside Lexington, Versailles, Georgetown, and Wilmore Service Territory </t>
  </si>
  <si>
    <t>Estimated Costs for All Service Area Disconnects and Reconnects in Lexington, Versailles, Georgetown, and Wilmore Service Area excluding Weekends in the Lexington, Versailles, Georgetown, and Wilmore Area</t>
  </si>
  <si>
    <t>2. KU Lexington, Versailles, Georgetown, and Wilmore service territory operate both a first and second shift.</t>
  </si>
  <si>
    <t>3. Reconnects in the KU Lexington, Versailles, Georgetown, and Wilmore service territory weekday afterhours costs the same as those performed during normal business hours.</t>
  </si>
  <si>
    <t>4. Outside of the KU Lexington, Versailles, Georgetown, and Wilmore service territory afterhours reconnects and weekend in Lexington, Versailles, Georgetown, and Wilmore service territory reconnects.</t>
  </si>
  <si>
    <t>1. All disconnects are performed during normal business hours (8AM - 5PM).</t>
  </si>
  <si>
    <t>5. Estimated cost calculation for outside of KU Lexington, Versailles, Georgetown, and Wilmore service territory weekends and afterhours reconnects and weekend Lexington, Versailles, Georgetown, and Wilmore service territory reconnects.</t>
  </si>
  <si>
    <t>5. Estimated cost calculation for outside of LG&amp;E Metro Louisville service territory weekends and afterhours reconnects and weekend Metro Louisville service territory reconnects.</t>
  </si>
  <si>
    <t>Estimated number of weekend and afterhours reconnects outside of Lexington, Versailles, Georgetown, and Wilmore and weekend reconnects inside Lexington, Versailles, Georgetown, and Wilmore:</t>
  </si>
  <si>
    <t>Estimated Cost of Weekend and Afterhours Disconnect/Reconnect Outside of Lexington, Versailles, Georgetown, and Wilmore Service Area and Weekends in Lexington, Versailles, Georgetown, and Wilmore Service Area</t>
  </si>
  <si>
    <t>Estimated overtime rate for employee still on clock</t>
  </si>
  <si>
    <t>a. If performed by contractor on overtime, overtime rate is actual time at time and one quarter per contract.</t>
  </si>
  <si>
    <t>Estimated Employee on Call for the weekend</t>
  </si>
  <si>
    <t>Estimated number of weekend and afterhours reconnects outside of Metro Louisville and weekend reconnects inside Metro Louisville:</t>
  </si>
  <si>
    <t>c. If performed by employee on call for the weekend the employee is paid time and one half.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</si>
</sst>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* @_)"/>
    <numFmt numFmtId="165" formatCode="_(&quot;$&quot;* #,##0_);_(&quot;$&quot;* \(#,##0\);_(&quot;$&quot;* &quot;-&quot;??_);_(@_)"/>
    <numFmt numFmtId="166" formatCode="_(* #,##0_);_(* \(#,##0\);_(* &quot;-&quot;??_);_(@_)"/>
    <numFmt numFmtId="167" formatCode="0.00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22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u val="singleAccounting"/>
      <sz val="12"/>
      <color indexed="8"/>
      <name val="Times New Roman"/>
      <family val="1"/>
    </font>
    <font>
      <u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2"/>
    <xf numFmtId="0" fontId="3" fillId="0" borderId="3" xfId="2" applyBorder="1" applyAlignment="1">
      <alignment horizontal="center"/>
    </xf>
    <xf numFmtId="0" fontId="3" fillId="0" borderId="4" xfId="2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2" borderId="6" xfId="2" applyFont="1" applyFill="1" applyBorder="1"/>
    <xf numFmtId="164" fontId="3" fillId="0" borderId="7" xfId="3" applyNumberFormat="1" applyFont="1" applyBorder="1"/>
    <xf numFmtId="10" fontId="3" fillId="0" borderId="8" xfId="4" applyNumberFormat="1" applyFont="1" applyBorder="1" applyAlignment="1">
      <alignment horizontal="center"/>
    </xf>
    <xf numFmtId="10" fontId="3" fillId="0" borderId="9" xfId="5" applyNumberFormat="1" applyFont="1" applyBorder="1" applyAlignment="1">
      <alignment horizontal="center"/>
    </xf>
    <xf numFmtId="44" fontId="3" fillId="0" borderId="10" xfId="2" applyNumberFormat="1" applyBorder="1" applyAlignment="1">
      <alignment horizontal="center"/>
    </xf>
    <xf numFmtId="44" fontId="3" fillId="0" borderId="11" xfId="2" applyNumberFormat="1" applyBorder="1" applyAlignment="1">
      <alignment horizontal="center"/>
    </xf>
    <xf numFmtId="0" fontId="5" fillId="2" borderId="12" xfId="2" applyFont="1" applyFill="1" applyBorder="1"/>
    <xf numFmtId="164" fontId="3" fillId="0" borderId="13" xfId="3" applyNumberFormat="1" applyFont="1" applyBorder="1"/>
    <xf numFmtId="10" fontId="3" fillId="0" borderId="14" xfId="5" applyNumberFormat="1" applyFont="1" applyBorder="1" applyAlignment="1">
      <alignment horizontal="center"/>
    </xf>
    <xf numFmtId="44" fontId="3" fillId="0" borderId="15" xfId="2" applyNumberFormat="1" applyBorder="1"/>
    <xf numFmtId="44" fontId="3" fillId="0" borderId="16" xfId="2" applyNumberFormat="1" applyBorder="1" applyAlignment="1">
      <alignment horizontal="center"/>
    </xf>
    <xf numFmtId="10" fontId="3" fillId="0" borderId="0" xfId="4" applyNumberFormat="1" applyFont="1"/>
    <xf numFmtId="0" fontId="5" fillId="0" borderId="0" xfId="2" applyFont="1"/>
    <xf numFmtId="0" fontId="5" fillId="0" borderId="18" xfId="2" applyFont="1" applyBorder="1"/>
    <xf numFmtId="0" fontId="3" fillId="0" borderId="19" xfId="2" applyBorder="1"/>
    <xf numFmtId="0" fontId="5" fillId="0" borderId="7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5" fillId="0" borderId="21" xfId="2" applyFont="1" applyBorder="1" applyAlignment="1">
      <alignment horizontal="center"/>
    </xf>
    <xf numFmtId="0" fontId="5" fillId="0" borderId="22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3" fillId="0" borderId="23" xfId="2" applyBorder="1"/>
    <xf numFmtId="0" fontId="5" fillId="0" borderId="24" xfId="2" applyFont="1" applyBorder="1"/>
    <xf numFmtId="44" fontId="3" fillId="0" borderId="25" xfId="2" applyNumberFormat="1" applyBorder="1" applyAlignment="1">
      <alignment horizontal="center"/>
    </xf>
    <xf numFmtId="44" fontId="3" fillId="0" borderId="26" xfId="2" applyNumberFormat="1" applyBorder="1" applyAlignment="1">
      <alignment horizontal="center"/>
    </xf>
    <xf numFmtId="0" fontId="3" fillId="0" borderId="7" xfId="2" applyBorder="1" applyAlignment="1">
      <alignment horizontal="center"/>
    </xf>
    <xf numFmtId="0" fontId="3" fillId="0" borderId="20" xfId="2" applyBorder="1" applyAlignment="1">
      <alignment horizontal="center"/>
    </xf>
    <xf numFmtId="44" fontId="5" fillId="0" borderId="25" xfId="2" applyNumberFormat="1" applyFont="1" applyBorder="1"/>
    <xf numFmtId="44" fontId="5" fillId="0" borderId="27" xfId="2" applyNumberFormat="1" applyFont="1" applyBorder="1"/>
    <xf numFmtId="44" fontId="3" fillId="0" borderId="3" xfId="2" applyNumberFormat="1" applyBorder="1"/>
    <xf numFmtId="0" fontId="5" fillId="0" borderId="6" xfId="2" applyFont="1" applyBorder="1"/>
    <xf numFmtId="44" fontId="3" fillId="0" borderId="7" xfId="2" applyNumberFormat="1" applyBorder="1" applyAlignment="1">
      <alignment horizontal="center"/>
    </xf>
    <xf numFmtId="44" fontId="3" fillId="0" borderId="20" xfId="2" applyNumberFormat="1" applyBorder="1" applyAlignment="1">
      <alignment horizontal="center"/>
    </xf>
    <xf numFmtId="44" fontId="5" fillId="0" borderId="7" xfId="2" applyNumberFormat="1" applyFont="1" applyBorder="1" applyAlignment="1">
      <alignment horizontal="center"/>
    </xf>
    <xf numFmtId="44" fontId="5" fillId="0" borderId="28" xfId="2" applyNumberFormat="1" applyFont="1" applyBorder="1" applyAlignment="1">
      <alignment horizontal="center"/>
    </xf>
    <xf numFmtId="44" fontId="3" fillId="0" borderId="18" xfId="2" applyNumberFormat="1" applyBorder="1"/>
    <xf numFmtId="0" fontId="5" fillId="0" borderId="12" xfId="2" applyFont="1" applyBorder="1"/>
    <xf numFmtId="44" fontId="3" fillId="0" borderId="29" xfId="2" applyNumberFormat="1" applyBorder="1" applyAlignment="1">
      <alignment horizontal="center"/>
    </xf>
    <xf numFmtId="0" fontId="3" fillId="0" borderId="29" xfId="2" applyBorder="1" applyAlignment="1">
      <alignment horizontal="center"/>
    </xf>
    <xf numFmtId="44" fontId="3" fillId="0" borderId="12" xfId="2" applyNumberFormat="1" applyBorder="1" applyAlignment="1">
      <alignment horizontal="center"/>
    </xf>
    <xf numFmtId="44" fontId="3" fillId="0" borderId="30" xfId="2" applyNumberFormat="1" applyBorder="1"/>
    <xf numFmtId="43" fontId="3" fillId="0" borderId="0" xfId="7"/>
    <xf numFmtId="0" fontId="3" fillId="0" borderId="31" xfId="2" applyBorder="1"/>
    <xf numFmtId="0" fontId="3" fillId="0" borderId="5" xfId="2" applyBorder="1"/>
    <xf numFmtId="0" fontId="3" fillId="0" borderId="32" xfId="2" applyBorder="1"/>
    <xf numFmtId="0" fontId="3" fillId="0" borderId="33" xfId="2" applyBorder="1"/>
    <xf numFmtId="0" fontId="8" fillId="3" borderId="0" xfId="2" applyFont="1" applyFill="1"/>
    <xf numFmtId="0" fontId="8" fillId="3" borderId="34" xfId="2" applyFont="1" applyFill="1" applyBorder="1"/>
    <xf numFmtId="0" fontId="3" fillId="0" borderId="0" xfId="2" applyAlignment="1">
      <alignment horizontal="left"/>
    </xf>
    <xf numFmtId="165" fontId="3" fillId="0" borderId="0" xfId="2" applyNumberFormat="1"/>
    <xf numFmtId="0" fontId="8" fillId="3" borderId="35" xfId="2" applyFont="1" applyFill="1" applyBorder="1" applyAlignment="1">
      <alignment horizontal="left"/>
    </xf>
    <xf numFmtId="165" fontId="8" fillId="3" borderId="35" xfId="2" applyNumberFormat="1" applyFont="1" applyFill="1" applyBorder="1"/>
    <xf numFmtId="0" fontId="5" fillId="0" borderId="3" xfId="2" applyFont="1" applyBorder="1"/>
    <xf numFmtId="0" fontId="2" fillId="0" borderId="19" xfId="2" applyFont="1" applyBorder="1"/>
    <xf numFmtId="0" fontId="2" fillId="0" borderId="31" xfId="2" applyFont="1" applyBorder="1"/>
    <xf numFmtId="0" fontId="2" fillId="0" borderId="5" xfId="2" applyFont="1" applyBorder="1"/>
    <xf numFmtId="0" fontId="2" fillId="0" borderId="25" xfId="2" applyFont="1" applyBorder="1"/>
    <xf numFmtId="0" fontId="2" fillId="0" borderId="26" xfId="2" applyFont="1" applyBorder="1"/>
    <xf numFmtId="0" fontId="2" fillId="0" borderId="36" xfId="2" applyFont="1" applyBorder="1"/>
    <xf numFmtId="0" fontId="2" fillId="0" borderId="25" xfId="2" applyFont="1" applyBorder="1" applyAlignment="1">
      <alignment horizontal="left"/>
    </xf>
    <xf numFmtId="166" fontId="2" fillId="0" borderId="26" xfId="7" applyNumberFormat="1" applyFont="1" applyFill="1" applyBorder="1"/>
    <xf numFmtId="166" fontId="2" fillId="0" borderId="36" xfId="7" applyNumberFormat="1" applyFont="1" applyFill="1" applyBorder="1"/>
    <xf numFmtId="0" fontId="2" fillId="0" borderId="13" xfId="2" applyFont="1" applyBorder="1" applyAlignment="1">
      <alignment horizontal="left"/>
    </xf>
    <xf numFmtId="166" fontId="2" fillId="0" borderId="37" xfId="7" applyNumberFormat="1" applyFont="1" applyFill="1" applyBorder="1"/>
    <xf numFmtId="0" fontId="2" fillId="0" borderId="32" xfId="2" applyFont="1" applyBorder="1" applyAlignment="1">
      <alignment horizontal="left"/>
    </xf>
    <xf numFmtId="0" fontId="2" fillId="0" borderId="0" xfId="2" applyFont="1"/>
    <xf numFmtId="0" fontId="2" fillId="0" borderId="33" xfId="2" applyFont="1" applyBorder="1"/>
    <xf numFmtId="10" fontId="2" fillId="0" borderId="26" xfId="4" applyNumberFormat="1" applyFont="1" applyFill="1" applyBorder="1"/>
    <xf numFmtId="10" fontId="2" fillId="0" borderId="36" xfId="4" applyNumberFormat="1" applyFont="1" applyFill="1" applyBorder="1"/>
    <xf numFmtId="10" fontId="2" fillId="0" borderId="37" xfId="4" applyNumberFormat="1" applyFont="1" applyFill="1" applyBorder="1"/>
    <xf numFmtId="10" fontId="2" fillId="0" borderId="38" xfId="4" applyNumberFormat="1" applyFont="1" applyFill="1" applyBorder="1"/>
    <xf numFmtId="0" fontId="3" fillId="0" borderId="1" xfId="2" applyBorder="1"/>
    <xf numFmtId="0" fontId="3" fillId="0" borderId="2" xfId="2" applyBorder="1"/>
    <xf numFmtId="0" fontId="3" fillId="0" borderId="39" xfId="2" applyBorder="1"/>
    <xf numFmtId="0" fontId="3" fillId="0" borderId="0" xfId="2" applyAlignment="1">
      <alignment horizontal="left" indent="1"/>
    </xf>
    <xf numFmtId="0" fontId="9" fillId="0" borderId="0" xfId="0" applyFont="1"/>
    <xf numFmtId="44" fontId="9" fillId="0" borderId="40" xfId="0" applyNumberFormat="1" applyFont="1" applyBorder="1"/>
    <xf numFmtId="166" fontId="9" fillId="0" borderId="40" xfId="1" applyNumberFormat="1" applyFont="1" applyBorder="1"/>
    <xf numFmtId="0" fontId="9" fillId="0" borderId="0" xfId="0" quotePrefix="1" applyFont="1"/>
    <xf numFmtId="0" fontId="11" fillId="0" borderId="0" xfId="2" applyFont="1" applyBorder="1"/>
    <xf numFmtId="44" fontId="11" fillId="0" borderId="0" xfId="2" applyNumberFormat="1" applyFont="1" applyBorder="1" applyAlignment="1">
      <alignment horizontal="center"/>
    </xf>
    <xf numFmtId="0" fontId="9" fillId="0" borderId="0" xfId="0" applyFont="1" applyBorder="1"/>
    <xf numFmtId="44" fontId="9" fillId="0" borderId="0" xfId="0" applyNumberFormat="1" applyFont="1" applyBorder="1"/>
    <xf numFmtId="166" fontId="9" fillId="0" borderId="0" xfId="0" applyNumberFormat="1" applyFont="1" applyBorder="1"/>
    <xf numFmtId="43" fontId="12" fillId="0" borderId="0" xfId="1" applyFont="1" applyBorder="1" applyAlignment="1">
      <alignment horizontal="right"/>
    </xf>
    <xf numFmtId="43" fontId="10" fillId="0" borderId="0" xfId="1" applyFont="1" applyAlignment="1">
      <alignment horizontal="right"/>
    </xf>
    <xf numFmtId="0" fontId="11" fillId="0" borderId="0" xfId="2" applyFont="1" applyBorder="1" applyAlignment="1">
      <alignment wrapText="1"/>
    </xf>
    <xf numFmtId="44" fontId="11" fillId="0" borderId="0" xfId="2" applyNumberFormat="1" applyFont="1" applyBorder="1" applyAlignment="1">
      <alignment horizontal="center" vertical="top"/>
    </xf>
    <xf numFmtId="166" fontId="11" fillId="0" borderId="0" xfId="1" applyNumberFormat="1" applyFont="1" applyBorder="1" applyAlignment="1">
      <alignment horizontal="center" vertical="top"/>
    </xf>
    <xf numFmtId="44" fontId="9" fillId="0" borderId="0" xfId="0" applyNumberFormat="1" applyFont="1" applyBorder="1" applyAlignment="1">
      <alignment vertical="top"/>
    </xf>
    <xf numFmtId="43" fontId="12" fillId="0" borderId="0" xfId="1" applyFont="1" applyBorder="1" applyAlignment="1">
      <alignment horizontal="center" wrapText="1"/>
    </xf>
    <xf numFmtId="44" fontId="11" fillId="0" borderId="0" xfId="2" applyNumberFormat="1" applyFont="1" applyFill="1" applyBorder="1" applyAlignment="1">
      <alignment horizontal="center" vertical="top"/>
    </xf>
    <xf numFmtId="166" fontId="11" fillId="0" borderId="0" xfId="1" applyNumberFormat="1" applyFont="1" applyFill="1" applyBorder="1" applyAlignment="1">
      <alignment horizontal="center" vertical="top"/>
    </xf>
    <xf numFmtId="9" fontId="9" fillId="0" borderId="0" xfId="9" applyFont="1" applyBorder="1"/>
    <xf numFmtId="44" fontId="9" fillId="0" borderId="0" xfId="8" applyFont="1"/>
    <xf numFmtId="44" fontId="9" fillId="0" borderId="0" xfId="8" applyFont="1" applyFill="1"/>
    <xf numFmtId="0" fontId="9" fillId="0" borderId="0" xfId="0" applyFont="1" applyFill="1"/>
    <xf numFmtId="44" fontId="9" fillId="0" borderId="40" xfId="8" applyFont="1" applyBorder="1"/>
    <xf numFmtId="44" fontId="9" fillId="0" borderId="0" xfId="8" applyFont="1" applyBorder="1"/>
    <xf numFmtId="0" fontId="9" fillId="0" borderId="0" xfId="0" applyFont="1" applyAlignment="1">
      <alignment wrapText="1"/>
    </xf>
    <xf numFmtId="44" fontId="9" fillId="0" borderId="0" xfId="8" applyFont="1" applyAlignment="1">
      <alignment vertical="top"/>
    </xf>
    <xf numFmtId="0" fontId="9" fillId="0" borderId="0" xfId="0" applyFont="1" applyAlignment="1"/>
    <xf numFmtId="44" fontId="9" fillId="0" borderId="0" xfId="8" applyFont="1" applyFill="1" applyAlignment="1">
      <alignment vertical="top"/>
    </xf>
    <xf numFmtId="167" fontId="9" fillId="0" borderId="0" xfId="9" applyNumberFormat="1" applyFont="1" applyFill="1"/>
    <xf numFmtId="43" fontId="12" fillId="0" borderId="0" xfId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9" fontId="9" fillId="0" borderId="0" xfId="9" applyFont="1"/>
    <xf numFmtId="44" fontId="9" fillId="0" borderId="0" xfId="8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4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8" fontId="11" fillId="0" borderId="0" xfId="2" applyNumberFormat="1" applyFont="1" applyBorder="1"/>
    <xf numFmtId="44" fontId="11" fillId="0" borderId="41" xfId="2" applyNumberFormat="1" applyFont="1" applyBorder="1"/>
    <xf numFmtId="43" fontId="10" fillId="0" borderId="0" xfId="1" applyFont="1" applyAlignment="1">
      <alignment horizontal="center"/>
    </xf>
    <xf numFmtId="0" fontId="9" fillId="0" borderId="0" xfId="0" applyFont="1" applyAlignment="1">
      <alignment vertical="top" wrapText="1"/>
    </xf>
    <xf numFmtId="9" fontId="9" fillId="0" borderId="0" xfId="9" applyFont="1" applyFill="1" applyAlignment="1">
      <alignment vertical="top"/>
    </xf>
    <xf numFmtId="9" fontId="9" fillId="0" borderId="0" xfId="9" applyFont="1" applyFill="1"/>
    <xf numFmtId="166" fontId="9" fillId="0" borderId="0" xfId="1" applyNumberFormat="1" applyFont="1" applyFill="1"/>
    <xf numFmtId="0" fontId="9" fillId="0" borderId="0" xfId="0" applyFont="1" applyAlignment="1">
      <alignment horizontal="left" vertical="top" wrapText="1"/>
    </xf>
    <xf numFmtId="43" fontId="12" fillId="0" borderId="0" xfId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1" xfId="2" applyFont="1" applyBorder="1" applyAlignment="1">
      <alignment horizontal="left"/>
    </xf>
    <xf numFmtId="0" fontId="4" fillId="0" borderId="2" xfId="2" applyFont="1" applyBorder="1" applyAlignment="1">
      <alignment horizontal="left"/>
    </xf>
    <xf numFmtId="0" fontId="5" fillId="0" borderId="12" xfId="2" applyFont="1" applyBorder="1" applyAlignment="1">
      <alignment horizontal="center"/>
    </xf>
    <xf numFmtId="0" fontId="5" fillId="0" borderId="17" xfId="2" applyFont="1" applyBorder="1" applyAlignment="1">
      <alignment horizontal="center"/>
    </xf>
    <xf numFmtId="0" fontId="7" fillId="0" borderId="12" xfId="2" applyFont="1" applyBorder="1" applyAlignment="1">
      <alignment horizontal="left"/>
    </xf>
    <xf numFmtId="0" fontId="7" fillId="0" borderId="4" xfId="2" applyFont="1" applyBorder="1" applyAlignment="1">
      <alignment horizontal="left"/>
    </xf>
    <xf numFmtId="0" fontId="7" fillId="0" borderId="17" xfId="2" applyFont="1" applyBorder="1" applyAlignment="1">
      <alignment horizontal="left"/>
    </xf>
  </cellXfs>
  <cellStyles count="10">
    <cellStyle name="Comma" xfId="1" builtinId="3"/>
    <cellStyle name="Comma 2" xfId="7" xr:uid="{2BD82825-70A6-4322-A51A-91C6304C0754}"/>
    <cellStyle name="Currency" xfId="8" builtinId="4"/>
    <cellStyle name="Currency 2 2 2 3" xfId="3" xr:uid="{B0695FC8-D76D-4BC0-95FB-08985A282BF9}"/>
    <cellStyle name="Normal" xfId="0" builtinId="0"/>
    <cellStyle name="Normal 2 2 2" xfId="2" xr:uid="{7E7D5CBE-9D1E-4E6F-BB13-498B3728FEB3}"/>
    <cellStyle name="Normal 3" xfId="6" xr:uid="{79D948B3-6342-4235-ABB7-F487239B70CA}"/>
    <cellStyle name="Percent" xfId="9" builtinId="5"/>
    <cellStyle name="Percent 2" xfId="4" xr:uid="{800DCE6C-BE14-4EE7-9917-5CAA79DD517C}"/>
    <cellStyle name="Percent 2 2 2 3" xfId="5" xr:uid="{471E26BD-89E2-4E91-83AD-7A840215A9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ummings\Initiatives\Transportation%20-%20Buy%20or%20lease\CEM%2020080121%20with%20UMS%20tab%20-%20H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/Initiatives/Transportation%20-%20Buy%20or%20lease/CEM%2020080121%20with%20UMS%20tab%20-%20H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Help"/>
      <sheetName val="LookUp Ranges"/>
      <sheetName val="Depreciation"/>
      <sheetName val="Inputs"/>
      <sheetName val="PL and CF"/>
      <sheetName val="Summary"/>
      <sheetName val="UMS Worksheet"/>
    </sheetNames>
    <sheetDataSet>
      <sheetData sheetId="0"/>
      <sheetData sheetId="1"/>
      <sheetData sheetId="2">
        <row r="12">
          <cell r="L12">
            <v>5.6000000000000001E-2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Help"/>
      <sheetName val="LookUp Ranges"/>
      <sheetName val="Depreciation"/>
      <sheetName val="Inputs"/>
      <sheetName val="PL and CF"/>
      <sheetName val="Summary"/>
      <sheetName val="UMS Worksheet"/>
    </sheetNames>
    <sheetDataSet>
      <sheetData sheetId="0"/>
      <sheetData sheetId="1"/>
      <sheetData sheetId="2">
        <row r="12">
          <cell r="L12">
            <v>5.6000000000000001E-2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360E-A357-46B5-BF1C-73D7D32D4671}">
  <sheetPr>
    <pageSetUpPr fitToPage="1"/>
  </sheetPr>
  <dimension ref="A1:H56"/>
  <sheetViews>
    <sheetView showGridLines="0" tabSelected="1" zoomScaleNormal="100" workbookViewId="0">
      <selection sqref="A1:H1"/>
    </sheetView>
  </sheetViews>
  <sheetFormatPr defaultColWidth="9.140625" defaultRowHeight="15.75" x14ac:dyDescent="0.25"/>
  <cols>
    <col min="1" max="1" width="72.5703125" style="80" customWidth="1"/>
    <col min="2" max="2" width="17.85546875" style="80" customWidth="1"/>
    <col min="3" max="3" width="19.85546875" style="80" bestFit="1" customWidth="1"/>
    <col min="4" max="4" width="23" style="80" bestFit="1" customWidth="1"/>
    <col min="5" max="5" width="19.5703125" style="80" customWidth="1"/>
    <col min="6" max="6" width="17.85546875" style="80" bestFit="1" customWidth="1"/>
    <col min="7" max="7" width="16.7109375" style="80" bestFit="1" customWidth="1"/>
    <col min="8" max="8" width="26.5703125" style="80" customWidth="1"/>
    <col min="9" max="16384" width="9.140625" style="80"/>
  </cols>
  <sheetData>
    <row r="1" spans="1:8" x14ac:dyDescent="0.25">
      <c r="A1" s="127" t="s">
        <v>45</v>
      </c>
      <c r="B1" s="127"/>
      <c r="C1" s="127"/>
      <c r="D1" s="127"/>
      <c r="E1" s="127"/>
      <c r="F1" s="127"/>
      <c r="G1" s="127"/>
      <c r="H1" s="127"/>
    </row>
    <row r="2" spans="1:8" x14ac:dyDescent="0.25">
      <c r="A2" s="127" t="s">
        <v>37</v>
      </c>
      <c r="B2" s="127"/>
      <c r="C2" s="127"/>
      <c r="D2" s="127"/>
      <c r="E2" s="127"/>
      <c r="F2" s="127"/>
      <c r="G2" s="127"/>
      <c r="H2" s="127"/>
    </row>
    <row r="3" spans="1:8" x14ac:dyDescent="0.25">
      <c r="A3" s="127" t="s">
        <v>38</v>
      </c>
      <c r="B3" s="127"/>
      <c r="C3" s="127"/>
      <c r="D3" s="127"/>
      <c r="E3" s="127"/>
      <c r="F3" s="127"/>
      <c r="G3" s="127"/>
      <c r="H3" s="127"/>
    </row>
    <row r="8" spans="1:8" ht="18" x14ac:dyDescent="0.4">
      <c r="B8" s="125" t="s">
        <v>8</v>
      </c>
      <c r="C8" s="126"/>
      <c r="D8" s="125" t="s">
        <v>9</v>
      </c>
      <c r="E8" s="126"/>
      <c r="F8" s="125" t="s">
        <v>10</v>
      </c>
      <c r="G8" s="125"/>
    </row>
    <row r="9" spans="1:8" ht="49.5" x14ac:dyDescent="0.4">
      <c r="A9" s="115" t="s">
        <v>84</v>
      </c>
      <c r="B9" s="89" t="s">
        <v>4</v>
      </c>
      <c r="C9" s="89" t="s">
        <v>5</v>
      </c>
      <c r="D9" s="90" t="s">
        <v>39</v>
      </c>
      <c r="E9" s="89" t="s">
        <v>40</v>
      </c>
      <c r="F9" s="89" t="s">
        <v>42</v>
      </c>
      <c r="G9" s="89" t="s">
        <v>43</v>
      </c>
      <c r="H9" s="95" t="s">
        <v>46</v>
      </c>
    </row>
    <row r="10" spans="1:8" x14ac:dyDescent="0.25">
      <c r="A10" s="91" t="s">
        <v>73</v>
      </c>
      <c r="B10" s="96"/>
      <c r="C10" s="96">
        <f>+D56*F54</f>
        <v>395513.89424680005</v>
      </c>
      <c r="D10" s="97"/>
      <c r="E10" s="97">
        <f>+D56</f>
        <v>4600</v>
      </c>
      <c r="F10" s="94">
        <f>+F19</f>
        <v>17.546761319400741</v>
      </c>
      <c r="G10" s="94">
        <f>+F54</f>
        <v>85.981281358000004</v>
      </c>
      <c r="H10" s="94">
        <f>+F10+G10</f>
        <v>103.52804267740075</v>
      </c>
    </row>
    <row r="11" spans="1:8" x14ac:dyDescent="0.25">
      <c r="A11" s="83" t="s">
        <v>49</v>
      </c>
      <c r="B11" s="86"/>
      <c r="C11" s="86"/>
      <c r="D11" s="86"/>
      <c r="E11" s="86"/>
      <c r="F11" s="86"/>
      <c r="G11" s="86"/>
      <c r="H11" s="98">
        <v>0.03</v>
      </c>
    </row>
    <row r="12" spans="1:8" ht="16.5" thickBot="1" x14ac:dyDescent="0.3">
      <c r="A12" s="80" t="s">
        <v>50</v>
      </c>
      <c r="H12" s="118">
        <f>-FV(H11,(24/12),0,H10,0)</f>
        <v>109.83290047645445</v>
      </c>
    </row>
    <row r="13" spans="1:8" ht="16.5" thickTop="1" x14ac:dyDescent="0.25"/>
    <row r="15" spans="1:8" ht="18" x14ac:dyDescent="0.4">
      <c r="A15" s="84"/>
      <c r="B15" s="125" t="s">
        <v>8</v>
      </c>
      <c r="C15" s="126"/>
      <c r="D15" s="125" t="s">
        <v>9</v>
      </c>
      <c r="E15" s="126"/>
      <c r="F15" s="125" t="s">
        <v>10</v>
      </c>
      <c r="G15" s="125"/>
    </row>
    <row r="16" spans="1:8" ht="51" customHeight="1" x14ac:dyDescent="0.4">
      <c r="A16" s="115" t="s">
        <v>76</v>
      </c>
      <c r="B16" s="89" t="s">
        <v>4</v>
      </c>
      <c r="C16" s="89" t="s">
        <v>5</v>
      </c>
      <c r="D16" s="90" t="s">
        <v>39</v>
      </c>
      <c r="E16" s="89" t="s">
        <v>40</v>
      </c>
      <c r="F16" s="89" t="s">
        <v>42</v>
      </c>
      <c r="G16" s="89" t="s">
        <v>43</v>
      </c>
      <c r="H16" s="95" t="s">
        <v>44</v>
      </c>
    </row>
    <row r="17" spans="1:8" x14ac:dyDescent="0.25">
      <c r="A17" s="91" t="s">
        <v>63</v>
      </c>
      <c r="B17" s="92">
        <f>+'Cost Per Order Type Field Ser'!B11</f>
        <v>4278198.7046123305</v>
      </c>
      <c r="C17" s="92">
        <f>+'Cost Per Order Type Field Ser'!C11</f>
        <v>2776143.295387669</v>
      </c>
      <c r="D17" s="93">
        <f>+'Cost Per Order Type Field Ser'!D11</f>
        <v>243817</v>
      </c>
      <c r="E17" s="93">
        <f>+'Cost Per Order Type Field Ser'!E11</f>
        <v>158214</v>
      </c>
      <c r="F17" s="85"/>
      <c r="G17" s="85"/>
      <c r="H17" s="85"/>
    </row>
    <row r="18" spans="1:8" ht="47.25" x14ac:dyDescent="0.25">
      <c r="A18" s="116" t="s">
        <v>75</v>
      </c>
      <c r="B18" s="87">
        <f>-B10</f>
        <v>0</v>
      </c>
      <c r="C18" s="87">
        <f>-C10</f>
        <v>-395513.89424680005</v>
      </c>
      <c r="D18" s="88">
        <f>-D10</f>
        <v>0</v>
      </c>
      <c r="E18" s="88">
        <f>-E10</f>
        <v>-4600</v>
      </c>
      <c r="F18" s="85"/>
      <c r="G18" s="85"/>
      <c r="H18" s="85"/>
    </row>
    <row r="19" spans="1:8" x14ac:dyDescent="0.25">
      <c r="A19" s="80" t="s">
        <v>41</v>
      </c>
      <c r="B19" s="81">
        <f>SUM(B17:B18)</f>
        <v>4278198.7046123305</v>
      </c>
      <c r="C19" s="81">
        <f t="shared" ref="C19:E19" si="0">SUM(C17:C18)</f>
        <v>2380629.4011408691</v>
      </c>
      <c r="D19" s="82">
        <f t="shared" si="0"/>
        <v>243817</v>
      </c>
      <c r="E19" s="82">
        <f t="shared" si="0"/>
        <v>153614</v>
      </c>
      <c r="F19" s="87">
        <f>+B19/D19</f>
        <v>17.546761319400741</v>
      </c>
      <c r="G19" s="87">
        <f>+C19/E19</f>
        <v>15.497476799906709</v>
      </c>
      <c r="H19" s="87">
        <f>+F19+G19</f>
        <v>33.044238119307451</v>
      </c>
    </row>
    <row r="20" spans="1:8" x14ac:dyDescent="0.25">
      <c r="A20" s="83" t="s">
        <v>49</v>
      </c>
      <c r="B20" s="86"/>
      <c r="C20" s="86"/>
      <c r="D20" s="86"/>
      <c r="E20" s="86"/>
      <c r="F20" s="86"/>
      <c r="G20" s="86"/>
      <c r="H20" s="98">
        <v>0.03</v>
      </c>
    </row>
    <row r="21" spans="1:8" ht="16.5" thickBot="1" x14ac:dyDescent="0.3">
      <c r="A21" s="80" t="s">
        <v>50</v>
      </c>
      <c r="H21" s="118">
        <f>-FV(H20,(24/12),0,H19,0)</f>
        <v>35.056632220773274</v>
      </c>
    </row>
    <row r="22" spans="1:8" ht="16.5" thickTop="1" x14ac:dyDescent="0.25">
      <c r="A22" s="83"/>
    </row>
    <row r="23" spans="1:8" x14ac:dyDescent="0.25">
      <c r="A23" s="83"/>
    </row>
    <row r="24" spans="1:8" x14ac:dyDescent="0.25">
      <c r="A24" s="80" t="s">
        <v>47</v>
      </c>
    </row>
    <row r="25" spans="1:8" x14ac:dyDescent="0.25">
      <c r="A25" s="106" t="s">
        <v>80</v>
      </c>
    </row>
    <row r="26" spans="1:8" x14ac:dyDescent="0.25">
      <c r="A26" s="106"/>
    </row>
    <row r="27" spans="1:8" x14ac:dyDescent="0.25">
      <c r="A27" s="106" t="s">
        <v>77</v>
      </c>
    </row>
    <row r="28" spans="1:8" x14ac:dyDescent="0.25">
      <c r="A28" s="106" t="s">
        <v>57</v>
      </c>
    </row>
    <row r="29" spans="1:8" x14ac:dyDescent="0.25">
      <c r="A29" s="106" t="s">
        <v>74</v>
      </c>
    </row>
    <row r="30" spans="1:8" x14ac:dyDescent="0.25">
      <c r="A30" s="106"/>
    </row>
    <row r="31" spans="1:8" x14ac:dyDescent="0.25">
      <c r="A31" s="80" t="s">
        <v>78</v>
      </c>
    </row>
    <row r="33" spans="1:6" x14ac:dyDescent="0.25">
      <c r="A33" s="80" t="s">
        <v>79</v>
      </c>
    </row>
    <row r="34" spans="1:6" x14ac:dyDescent="0.25">
      <c r="A34" s="80" t="s">
        <v>86</v>
      </c>
    </row>
    <row r="35" spans="1:6" x14ac:dyDescent="0.25">
      <c r="A35" s="80" t="s">
        <v>59</v>
      </c>
    </row>
    <row r="36" spans="1:6" x14ac:dyDescent="0.25">
      <c r="A36" s="80" t="s">
        <v>60</v>
      </c>
    </row>
    <row r="38" spans="1:6" x14ac:dyDescent="0.25">
      <c r="A38" s="80" t="s">
        <v>81</v>
      </c>
    </row>
    <row r="39" spans="1:6" x14ac:dyDescent="0.25">
      <c r="A39" s="80" t="s">
        <v>71</v>
      </c>
    </row>
    <row r="41" spans="1:6" ht="18" x14ac:dyDescent="0.4">
      <c r="B41" s="90" t="s">
        <v>51</v>
      </c>
      <c r="C41" s="119" t="s">
        <v>52</v>
      </c>
      <c r="D41" s="90" t="s">
        <v>53</v>
      </c>
      <c r="E41" s="90" t="s">
        <v>62</v>
      </c>
      <c r="F41" s="90" t="s">
        <v>53</v>
      </c>
    </row>
    <row r="42" spans="1:6" ht="31.5" x14ac:dyDescent="0.25">
      <c r="A42" s="120" t="s">
        <v>61</v>
      </c>
      <c r="B42" s="107">
        <v>53</v>
      </c>
      <c r="C42" s="114">
        <v>0.5</v>
      </c>
      <c r="D42" s="105">
        <f>+B42*C42</f>
        <v>26.5</v>
      </c>
      <c r="E42" s="121">
        <v>0.19</v>
      </c>
      <c r="F42" s="113">
        <f>+D42*E42</f>
        <v>5.0350000000000001</v>
      </c>
    </row>
    <row r="43" spans="1:6" x14ac:dyDescent="0.25">
      <c r="B43" s="100"/>
      <c r="C43" s="111"/>
      <c r="D43" s="100"/>
      <c r="E43" s="122"/>
      <c r="F43" s="99"/>
    </row>
    <row r="44" spans="1:6" x14ac:dyDescent="0.25">
      <c r="A44" s="80" t="s">
        <v>85</v>
      </c>
      <c r="B44" s="100">
        <f>26*1.5</f>
        <v>39</v>
      </c>
      <c r="C44" s="111">
        <f>+C42</f>
        <v>0.5</v>
      </c>
      <c r="D44" s="99">
        <f>+B44*C44</f>
        <v>19.5</v>
      </c>
      <c r="E44" s="122"/>
      <c r="F44" s="99"/>
    </row>
    <row r="45" spans="1:6" x14ac:dyDescent="0.25">
      <c r="A45" s="80" t="s">
        <v>54</v>
      </c>
      <c r="B45" s="108">
        <v>0.62386140000000001</v>
      </c>
      <c r="C45" s="111"/>
      <c r="D45" s="99">
        <f>+D44*B45</f>
        <v>12.165297300000001</v>
      </c>
      <c r="E45" s="122"/>
      <c r="F45" s="99"/>
    </row>
    <row r="46" spans="1:6" x14ac:dyDescent="0.25">
      <c r="A46" s="80" t="s">
        <v>55</v>
      </c>
      <c r="B46" s="100">
        <v>7.53</v>
      </c>
      <c r="C46" s="111">
        <f>+C44</f>
        <v>0.5</v>
      </c>
      <c r="D46" s="99">
        <f>+B46*C46</f>
        <v>3.7650000000000001</v>
      </c>
      <c r="E46" s="122"/>
      <c r="F46" s="99"/>
    </row>
    <row r="47" spans="1:6" x14ac:dyDescent="0.25">
      <c r="B47" s="100"/>
      <c r="C47" s="111"/>
      <c r="D47" s="102">
        <f>SUM(D44:D46)</f>
        <v>35.430297299999999</v>
      </c>
      <c r="E47" s="122">
        <v>0.48</v>
      </c>
      <c r="F47" s="113">
        <f>+D47*E47</f>
        <v>17.006542703999997</v>
      </c>
    </row>
    <row r="48" spans="1:6" x14ac:dyDescent="0.25">
      <c r="B48" s="100"/>
      <c r="C48" s="111"/>
      <c r="D48" s="103"/>
      <c r="E48" s="122"/>
      <c r="F48" s="99"/>
    </row>
    <row r="49" spans="1:6" x14ac:dyDescent="0.25">
      <c r="A49" s="80" t="s">
        <v>58</v>
      </c>
      <c r="B49" s="100">
        <f>26*1.5</f>
        <v>39</v>
      </c>
      <c r="C49" s="111">
        <v>3</v>
      </c>
      <c r="D49" s="99">
        <f>+B49*C49</f>
        <v>117</v>
      </c>
      <c r="E49" s="122"/>
      <c r="F49" s="99"/>
    </row>
    <row r="50" spans="1:6" x14ac:dyDescent="0.25">
      <c r="A50" s="80" t="s">
        <v>54</v>
      </c>
      <c r="B50" s="108">
        <v>0.62386140000000001</v>
      </c>
      <c r="C50" s="111"/>
      <c r="D50" s="99">
        <f>+D49*B50</f>
        <v>72.991783800000007</v>
      </c>
      <c r="E50" s="122"/>
      <c r="F50" s="99"/>
    </row>
    <row r="51" spans="1:6" x14ac:dyDescent="0.25">
      <c r="A51" s="80" t="s">
        <v>55</v>
      </c>
      <c r="B51" s="100">
        <v>7.53</v>
      </c>
      <c r="C51" s="111">
        <f>+C46</f>
        <v>0.5</v>
      </c>
      <c r="D51" s="99">
        <f>+B51*C51</f>
        <v>3.7650000000000001</v>
      </c>
      <c r="E51" s="122"/>
      <c r="F51" s="99"/>
    </row>
    <row r="52" spans="1:6" x14ac:dyDescent="0.25">
      <c r="B52" s="100"/>
      <c r="C52" s="101"/>
      <c r="D52" s="102">
        <f>SUM(D49:D51)</f>
        <v>193.75678379999999</v>
      </c>
      <c r="E52" s="122">
        <v>0.33</v>
      </c>
      <c r="F52" s="113">
        <f>+D52*E52</f>
        <v>63.939738654000003</v>
      </c>
    </row>
    <row r="53" spans="1:6" x14ac:dyDescent="0.25">
      <c r="B53" s="100"/>
      <c r="C53" s="101"/>
      <c r="D53" s="103"/>
      <c r="F53" s="99"/>
    </row>
    <row r="54" spans="1:6" x14ac:dyDescent="0.25">
      <c r="A54" s="80" t="s">
        <v>56</v>
      </c>
      <c r="B54" s="99"/>
      <c r="D54" s="99"/>
      <c r="F54" s="99">
        <f>+F42+F47+F52</f>
        <v>85.981281358000004</v>
      </c>
    </row>
    <row r="55" spans="1:6" x14ac:dyDescent="0.25">
      <c r="D55" s="99"/>
    </row>
    <row r="56" spans="1:6" ht="47.25" x14ac:dyDescent="0.25">
      <c r="A56" s="104" t="s">
        <v>83</v>
      </c>
      <c r="D56" s="123">
        <v>4600</v>
      </c>
    </row>
  </sheetData>
  <mergeCells count="9">
    <mergeCell ref="B15:C15"/>
    <mergeCell ref="D15:E15"/>
    <mergeCell ref="F15:G15"/>
    <mergeCell ref="A1:H1"/>
    <mergeCell ref="A2:H2"/>
    <mergeCell ref="A3:H3"/>
    <mergeCell ref="B8:C8"/>
    <mergeCell ref="D8:E8"/>
    <mergeCell ref="F8:G8"/>
  </mergeCells>
  <pageMargins left="0.7" right="0.7" top="0.75" bottom="0.75" header="0.3" footer="0.3"/>
  <pageSetup scale="49" orientation="landscape" r:id="rId1"/>
  <headerFooter>
    <oddFooter>&amp;R&amp;"times,Bold"&amp;12Case Nos. 2020-00349, 2020-00350
Attachment to Response to PSC-PH Question No. 24
Page 1 of 3
Seelye/Saunders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3506E-1F7B-4ED6-A83D-4EDDA98D95BD}">
  <sheetPr>
    <pageSetUpPr fitToPage="1"/>
  </sheetPr>
  <dimension ref="A1:H58"/>
  <sheetViews>
    <sheetView showGridLines="0" zoomScaleNormal="100" workbookViewId="0">
      <selection sqref="A1:H1"/>
    </sheetView>
  </sheetViews>
  <sheetFormatPr defaultColWidth="9.140625" defaultRowHeight="15.75" x14ac:dyDescent="0.25"/>
  <cols>
    <col min="1" max="1" width="72.5703125" style="80" customWidth="1"/>
    <col min="2" max="2" width="17.85546875" style="80" customWidth="1"/>
    <col min="3" max="3" width="19.85546875" style="80" bestFit="1" customWidth="1"/>
    <col min="4" max="4" width="23" style="80" bestFit="1" customWidth="1"/>
    <col min="5" max="5" width="19.5703125" style="80" customWidth="1"/>
    <col min="6" max="6" width="17.85546875" style="80" bestFit="1" customWidth="1"/>
    <col min="7" max="7" width="16.7109375" style="80" bestFit="1" customWidth="1"/>
    <col min="8" max="8" width="26.5703125" style="80" customWidth="1"/>
    <col min="9" max="16384" width="9.140625" style="80"/>
  </cols>
  <sheetData>
    <row r="1" spans="1:8" x14ac:dyDescent="0.25">
      <c r="A1" s="128" t="s">
        <v>36</v>
      </c>
      <c r="B1" s="128"/>
      <c r="C1" s="128"/>
      <c r="D1" s="128"/>
      <c r="E1" s="128"/>
      <c r="F1" s="128"/>
      <c r="G1" s="128"/>
      <c r="H1" s="128"/>
    </row>
    <row r="2" spans="1:8" x14ac:dyDescent="0.25">
      <c r="A2" s="127" t="s">
        <v>37</v>
      </c>
      <c r="B2" s="127"/>
      <c r="C2" s="127"/>
      <c r="D2" s="127"/>
      <c r="E2" s="127"/>
      <c r="F2" s="127"/>
      <c r="G2" s="127"/>
      <c r="H2" s="127"/>
    </row>
    <row r="3" spans="1:8" x14ac:dyDescent="0.25">
      <c r="A3" s="127" t="s">
        <v>38</v>
      </c>
      <c r="B3" s="127"/>
      <c r="C3" s="127"/>
      <c r="D3" s="127"/>
      <c r="E3" s="127"/>
      <c r="F3" s="127"/>
      <c r="G3" s="127"/>
      <c r="H3" s="127"/>
    </row>
    <row r="8" spans="1:8" ht="18" x14ac:dyDescent="0.4">
      <c r="A8" s="84"/>
      <c r="B8" s="125" t="s">
        <v>8</v>
      </c>
      <c r="C8" s="126"/>
      <c r="D8" s="125" t="s">
        <v>9</v>
      </c>
      <c r="E8" s="126"/>
      <c r="F8" s="125" t="s">
        <v>10</v>
      </c>
      <c r="G8" s="125"/>
    </row>
    <row r="9" spans="1:8" ht="36" x14ac:dyDescent="0.4">
      <c r="A9" s="115" t="s">
        <v>67</v>
      </c>
      <c r="B9" s="89" t="s">
        <v>4</v>
      </c>
      <c r="C9" s="89" t="s">
        <v>5</v>
      </c>
      <c r="D9" s="90" t="s">
        <v>39</v>
      </c>
      <c r="E9" s="89" t="s">
        <v>40</v>
      </c>
      <c r="F9" s="89" t="s">
        <v>42</v>
      </c>
      <c r="G9" s="89" t="s">
        <v>43</v>
      </c>
      <c r="H9" s="95" t="s">
        <v>46</v>
      </c>
    </row>
    <row r="10" spans="1:8" x14ac:dyDescent="0.25">
      <c r="A10" s="91" t="s">
        <v>72</v>
      </c>
      <c r="B10" s="96"/>
      <c r="C10" s="96">
        <f>+D56*F54</f>
        <v>95590.942115400001</v>
      </c>
      <c r="D10" s="97"/>
      <c r="E10" s="97">
        <f>+D56</f>
        <v>1900</v>
      </c>
      <c r="F10" s="94">
        <f>+F19</f>
        <v>15.186400791637908</v>
      </c>
      <c r="G10" s="94">
        <f>+F54</f>
        <v>50.311022166000001</v>
      </c>
      <c r="H10" s="94">
        <f>+F10+G10</f>
        <v>65.497422957637909</v>
      </c>
    </row>
    <row r="11" spans="1:8" x14ac:dyDescent="0.25">
      <c r="A11" s="83" t="s">
        <v>49</v>
      </c>
      <c r="B11" s="86"/>
      <c r="C11" s="86"/>
      <c r="D11" s="86"/>
      <c r="E11" s="86"/>
      <c r="F11" s="86"/>
      <c r="G11" s="86"/>
      <c r="H11" s="98">
        <v>0.03</v>
      </c>
    </row>
    <row r="12" spans="1:8" ht="16.5" thickBot="1" x14ac:dyDescent="0.3">
      <c r="A12" s="80" t="s">
        <v>50</v>
      </c>
      <c r="H12" s="118">
        <f>-FV(H11,(24/12),0,H10,0)</f>
        <v>69.48621601575806</v>
      </c>
    </row>
    <row r="13" spans="1:8" ht="18.75" thickTop="1" x14ac:dyDescent="0.4">
      <c r="A13" s="84"/>
      <c r="B13" s="109"/>
      <c r="C13" s="110"/>
      <c r="D13" s="109"/>
      <c r="E13" s="110"/>
      <c r="F13" s="109"/>
      <c r="G13" s="109"/>
    </row>
    <row r="14" spans="1:8" ht="18" x14ac:dyDescent="0.4">
      <c r="A14" s="84"/>
      <c r="B14" s="109"/>
      <c r="C14" s="110"/>
      <c r="D14" s="109"/>
      <c r="E14" s="110"/>
      <c r="F14" s="109"/>
      <c r="G14" s="109"/>
    </row>
    <row r="15" spans="1:8" ht="18" x14ac:dyDescent="0.4">
      <c r="A15" s="84"/>
      <c r="B15" s="125" t="s">
        <v>8</v>
      </c>
      <c r="C15" s="126"/>
      <c r="D15" s="125" t="s">
        <v>9</v>
      </c>
      <c r="E15" s="126"/>
      <c r="F15" s="125" t="s">
        <v>10</v>
      </c>
      <c r="G15" s="125"/>
    </row>
    <row r="16" spans="1:8" ht="54" x14ac:dyDescent="0.4">
      <c r="A16" s="115" t="s">
        <v>64</v>
      </c>
      <c r="B16" s="89" t="s">
        <v>4</v>
      </c>
      <c r="C16" s="89" t="s">
        <v>5</v>
      </c>
      <c r="D16" s="90" t="s">
        <v>39</v>
      </c>
      <c r="E16" s="89" t="s">
        <v>40</v>
      </c>
      <c r="F16" s="89" t="s">
        <v>42</v>
      </c>
      <c r="G16" s="89" t="s">
        <v>43</v>
      </c>
      <c r="H16" s="95" t="s">
        <v>48</v>
      </c>
    </row>
    <row r="17" spans="1:8" x14ac:dyDescent="0.25">
      <c r="A17" s="91" t="s">
        <v>65</v>
      </c>
      <c r="B17" s="92">
        <f>+'Cost Per Order Type Field Ser'!B10</f>
        <v>3410242.9753694171</v>
      </c>
      <c r="C17" s="92">
        <f>+'Cost Per Order Type Field Ser'!C10</f>
        <v>2068570.0246305827</v>
      </c>
      <c r="D17" s="93">
        <f>+'Cost Per Order Type Field Ser'!D10</f>
        <v>224559</v>
      </c>
      <c r="E17" s="93">
        <f>+'Cost Per Order Type Field Ser'!E10</f>
        <v>136212</v>
      </c>
      <c r="F17" s="94">
        <f>+B17/D17</f>
        <v>15.186400791637908</v>
      </c>
      <c r="G17" s="94">
        <f>+C17/E17</f>
        <v>15.186400791637908</v>
      </c>
      <c r="H17" s="94">
        <f>+F17+G17</f>
        <v>30.372801583275816</v>
      </c>
    </row>
    <row r="18" spans="1:8" ht="31.5" x14ac:dyDescent="0.25">
      <c r="A18" s="116" t="s">
        <v>66</v>
      </c>
      <c r="B18" s="87">
        <f>-B10</f>
        <v>0</v>
      </c>
      <c r="C18" s="87">
        <f>-C10</f>
        <v>-95590.942115400001</v>
      </c>
      <c r="D18" s="88">
        <f>-D10</f>
        <v>0</v>
      </c>
      <c r="E18" s="88">
        <f>-E10</f>
        <v>-1900</v>
      </c>
      <c r="F18" s="85"/>
      <c r="G18" s="85"/>
      <c r="H18" s="98">
        <v>0.03</v>
      </c>
    </row>
    <row r="19" spans="1:8" ht="16.5" thickBot="1" x14ac:dyDescent="0.3">
      <c r="A19" s="80" t="s">
        <v>41</v>
      </c>
      <c r="B19" s="81">
        <f>SUM(B17:B18)</f>
        <v>3410242.9753694171</v>
      </c>
      <c r="C19" s="81">
        <f t="shared" ref="C19:E19" si="0">SUM(C17:C18)</f>
        <v>1972979.0825151827</v>
      </c>
      <c r="D19" s="82">
        <f t="shared" si="0"/>
        <v>224559</v>
      </c>
      <c r="E19" s="82">
        <f t="shared" si="0"/>
        <v>134312</v>
      </c>
      <c r="F19" s="87">
        <f>+B19/D19</f>
        <v>15.186400791637908</v>
      </c>
      <c r="G19" s="87">
        <f>+C19/E19</f>
        <v>14.689522027184337</v>
      </c>
      <c r="H19" s="118">
        <f>-FV(H18,(24/12),0,H17,0)</f>
        <v>32.222505199697309</v>
      </c>
    </row>
    <row r="20" spans="1:8" ht="16.5" thickTop="1" x14ac:dyDescent="0.25">
      <c r="A20" s="83" t="s">
        <v>49</v>
      </c>
      <c r="H20" s="117"/>
    </row>
    <row r="21" spans="1:8" x14ac:dyDescent="0.25">
      <c r="A21" s="80" t="s">
        <v>50</v>
      </c>
      <c r="H21" s="117"/>
    </row>
    <row r="22" spans="1:8" x14ac:dyDescent="0.25">
      <c r="H22" s="117"/>
    </row>
    <row r="23" spans="1:8" x14ac:dyDescent="0.25">
      <c r="H23" s="117"/>
    </row>
    <row r="24" spans="1:8" x14ac:dyDescent="0.25">
      <c r="A24" s="80" t="s">
        <v>47</v>
      </c>
      <c r="H24" s="117"/>
    </row>
    <row r="25" spans="1:8" x14ac:dyDescent="0.25">
      <c r="A25" s="106" t="s">
        <v>80</v>
      </c>
      <c r="H25" s="117"/>
    </row>
    <row r="26" spans="1:8" x14ac:dyDescent="0.25">
      <c r="A26" s="106"/>
      <c r="H26" s="117"/>
    </row>
    <row r="27" spans="1:8" x14ac:dyDescent="0.25">
      <c r="A27" s="106" t="s">
        <v>68</v>
      </c>
      <c r="H27" s="117"/>
    </row>
    <row r="28" spans="1:8" x14ac:dyDescent="0.25">
      <c r="A28" s="106" t="s">
        <v>57</v>
      </c>
      <c r="H28" s="117"/>
    </row>
    <row r="29" spans="1:8" x14ac:dyDescent="0.25">
      <c r="A29" s="106" t="s">
        <v>74</v>
      </c>
      <c r="H29" s="117"/>
    </row>
    <row r="30" spans="1:8" x14ac:dyDescent="0.25">
      <c r="A30" s="106"/>
      <c r="H30" s="117"/>
    </row>
    <row r="31" spans="1:8" x14ac:dyDescent="0.25">
      <c r="A31" s="80" t="s">
        <v>69</v>
      </c>
      <c r="H31" s="117"/>
    </row>
    <row r="32" spans="1:8" x14ac:dyDescent="0.25">
      <c r="H32" s="117"/>
    </row>
    <row r="33" spans="1:8" x14ac:dyDescent="0.25">
      <c r="A33" s="80" t="s">
        <v>70</v>
      </c>
      <c r="H33" s="117"/>
    </row>
    <row r="34" spans="1:8" x14ac:dyDescent="0.25">
      <c r="A34" s="80" t="s">
        <v>86</v>
      </c>
      <c r="H34" s="117"/>
    </row>
    <row r="35" spans="1:8" x14ac:dyDescent="0.25">
      <c r="A35" s="80" t="s">
        <v>59</v>
      </c>
      <c r="H35" s="117"/>
    </row>
    <row r="36" spans="1:8" x14ac:dyDescent="0.25">
      <c r="A36" s="80" t="s">
        <v>89</v>
      </c>
      <c r="H36" s="117"/>
    </row>
    <row r="37" spans="1:8" x14ac:dyDescent="0.25">
      <c r="H37" s="117"/>
    </row>
    <row r="38" spans="1:8" x14ac:dyDescent="0.25">
      <c r="A38" s="80" t="s">
        <v>82</v>
      </c>
      <c r="H38" s="117"/>
    </row>
    <row r="39" spans="1:8" x14ac:dyDescent="0.25">
      <c r="A39" s="80" t="s">
        <v>71</v>
      </c>
      <c r="H39" s="117"/>
    </row>
    <row r="40" spans="1:8" x14ac:dyDescent="0.25">
      <c r="H40" s="117"/>
    </row>
    <row r="41" spans="1:8" ht="18" x14ac:dyDescent="0.4">
      <c r="B41" s="90" t="s">
        <v>51</v>
      </c>
      <c r="C41" s="119" t="s">
        <v>52</v>
      </c>
      <c r="D41" s="90" t="s">
        <v>53</v>
      </c>
      <c r="E41" s="90" t="s">
        <v>62</v>
      </c>
      <c r="F41" s="90" t="s">
        <v>53</v>
      </c>
      <c r="H41" s="117"/>
    </row>
    <row r="42" spans="1:8" ht="31.5" x14ac:dyDescent="0.25">
      <c r="A42" s="124" t="s">
        <v>61</v>
      </c>
      <c r="B42" s="107">
        <v>53</v>
      </c>
      <c r="C42" s="114">
        <v>0.5</v>
      </c>
      <c r="D42" s="105">
        <f>+B42*C42</f>
        <v>26.5</v>
      </c>
      <c r="E42" s="121">
        <v>0</v>
      </c>
      <c r="F42" s="113">
        <f>+D42*E42</f>
        <v>0</v>
      </c>
      <c r="H42" s="117"/>
    </row>
    <row r="43" spans="1:8" x14ac:dyDescent="0.25">
      <c r="B43" s="100"/>
      <c r="C43" s="111"/>
      <c r="D43" s="100"/>
      <c r="E43" s="112"/>
      <c r="F43" s="99"/>
      <c r="H43" s="117"/>
    </row>
    <row r="44" spans="1:8" x14ac:dyDescent="0.25">
      <c r="A44" s="80" t="s">
        <v>85</v>
      </c>
      <c r="B44" s="100">
        <f>26*1.5</f>
        <v>39</v>
      </c>
      <c r="C44" s="111">
        <f>+C42</f>
        <v>0.5</v>
      </c>
      <c r="D44" s="99">
        <f>+B44*C44</f>
        <v>19.5</v>
      </c>
      <c r="E44" s="112"/>
      <c r="F44" s="99"/>
      <c r="H44" s="117"/>
    </row>
    <row r="45" spans="1:8" x14ac:dyDescent="0.25">
      <c r="A45" s="80" t="s">
        <v>54</v>
      </c>
      <c r="B45" s="108">
        <v>0.62386140000000001</v>
      </c>
      <c r="C45" s="111"/>
      <c r="D45" s="99">
        <f>+D44*B45</f>
        <v>12.165297300000001</v>
      </c>
      <c r="E45" s="112"/>
      <c r="F45" s="99"/>
      <c r="H45" s="117"/>
    </row>
    <row r="46" spans="1:8" x14ac:dyDescent="0.25">
      <c r="A46" s="80" t="s">
        <v>55</v>
      </c>
      <c r="B46" s="100">
        <v>7.53</v>
      </c>
      <c r="C46" s="111">
        <f>+C44</f>
        <v>0.5</v>
      </c>
      <c r="D46" s="99">
        <f>+B46*C46</f>
        <v>3.7650000000000001</v>
      </c>
      <c r="E46" s="112"/>
      <c r="F46" s="99"/>
      <c r="H46" s="117"/>
    </row>
    <row r="47" spans="1:8" x14ac:dyDescent="0.25">
      <c r="B47" s="100"/>
      <c r="C47" s="111"/>
      <c r="D47" s="102">
        <f>SUM(D44:D46)</f>
        <v>35.430297299999999</v>
      </c>
      <c r="E47" s="122">
        <v>0.16</v>
      </c>
      <c r="F47" s="113">
        <f>+D47*E47</f>
        <v>5.6688475680000003</v>
      </c>
      <c r="H47" s="117"/>
    </row>
    <row r="48" spans="1:8" x14ac:dyDescent="0.25">
      <c r="B48" s="100"/>
      <c r="C48" s="111"/>
      <c r="D48" s="103"/>
      <c r="E48" s="122"/>
      <c r="F48" s="99"/>
      <c r="H48" s="117"/>
    </row>
    <row r="49" spans="1:8" x14ac:dyDescent="0.25">
      <c r="A49" s="80" t="s">
        <v>87</v>
      </c>
      <c r="B49" s="100">
        <f>26*1.5</f>
        <v>39</v>
      </c>
      <c r="C49" s="111">
        <v>0.75</v>
      </c>
      <c r="D49" s="99">
        <f>+B49*C49</f>
        <v>29.25</v>
      </c>
      <c r="E49" s="122"/>
      <c r="F49" s="99"/>
      <c r="H49" s="117"/>
    </row>
    <row r="50" spans="1:8" x14ac:dyDescent="0.25">
      <c r="A50" s="80" t="s">
        <v>54</v>
      </c>
      <c r="B50" s="108">
        <v>0.62386140000000001</v>
      </c>
      <c r="C50" s="111"/>
      <c r="D50" s="99">
        <f>+D49*B50</f>
        <v>18.247945950000002</v>
      </c>
      <c r="E50" s="122"/>
      <c r="F50" s="99"/>
    </row>
    <row r="51" spans="1:8" x14ac:dyDescent="0.25">
      <c r="A51" s="80" t="s">
        <v>55</v>
      </c>
      <c r="B51" s="100">
        <v>7.53</v>
      </c>
      <c r="C51" s="111">
        <v>0.75</v>
      </c>
      <c r="D51" s="99">
        <f>+B51*C51</f>
        <v>5.6475</v>
      </c>
      <c r="E51" s="122"/>
      <c r="F51" s="99"/>
    </row>
    <row r="52" spans="1:8" x14ac:dyDescent="0.25">
      <c r="B52" s="100"/>
      <c r="C52" s="101"/>
      <c r="D52" s="102">
        <f>SUM(D49:D51)</f>
        <v>53.145445950000003</v>
      </c>
      <c r="E52" s="122">
        <v>0.84</v>
      </c>
      <c r="F52" s="113">
        <f>+D52*E52</f>
        <v>44.642174598000004</v>
      </c>
    </row>
    <row r="53" spans="1:8" x14ac:dyDescent="0.25">
      <c r="B53" s="100"/>
      <c r="C53" s="101"/>
      <c r="D53" s="103"/>
      <c r="F53" s="99"/>
    </row>
    <row r="54" spans="1:8" x14ac:dyDescent="0.25">
      <c r="A54" s="80" t="s">
        <v>56</v>
      </c>
      <c r="B54" s="99"/>
      <c r="D54" s="99">
        <f>AVERAGE(D42,D47,D52)</f>
        <v>38.358581083333334</v>
      </c>
      <c r="F54" s="99">
        <f>+F42+F47+F52</f>
        <v>50.311022166000001</v>
      </c>
    </row>
    <row r="55" spans="1:8" x14ac:dyDescent="0.25">
      <c r="D55" s="99"/>
    </row>
    <row r="56" spans="1:8" x14ac:dyDescent="0.25">
      <c r="A56" s="80" t="s">
        <v>88</v>
      </c>
      <c r="D56" s="123">
        <v>1900</v>
      </c>
    </row>
    <row r="58" spans="1:8" x14ac:dyDescent="0.25">
      <c r="A58" s="106"/>
      <c r="C58" s="106"/>
      <c r="D58" s="106"/>
      <c r="E58" s="106"/>
      <c r="F58" s="106"/>
    </row>
  </sheetData>
  <mergeCells count="9">
    <mergeCell ref="A1:H1"/>
    <mergeCell ref="A2:H2"/>
    <mergeCell ref="A3:H3"/>
    <mergeCell ref="B15:C15"/>
    <mergeCell ref="D15:E15"/>
    <mergeCell ref="F15:G15"/>
    <mergeCell ref="B8:C8"/>
    <mergeCell ref="D8:E8"/>
    <mergeCell ref="F8:G8"/>
  </mergeCells>
  <pageMargins left="0.7" right="0.7" top="0.75" bottom="0.75" header="0.3" footer="0.3"/>
  <pageSetup scale="52" orientation="landscape" r:id="rId1"/>
  <headerFooter>
    <oddFooter>&amp;R&amp;"times,Bold"&amp;12Case Nos. 2020-00349, 2020-00350
Attachment to Response to PSC-PH Question No. 24
Page 2 of 3
Seelye/Saunders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B7047-F10C-4AEF-B84E-E7DC8DA47C53}">
  <sheetPr>
    <pageSetUpPr fitToPage="1"/>
  </sheetPr>
  <dimension ref="A1:H118"/>
  <sheetViews>
    <sheetView showGridLines="0" zoomScale="80" zoomScaleNormal="80" workbookViewId="0">
      <selection activeCell="H33" sqref="H33"/>
    </sheetView>
  </sheetViews>
  <sheetFormatPr defaultColWidth="9.140625" defaultRowHeight="12.75" x14ac:dyDescent="0.2"/>
  <cols>
    <col min="1" max="1" width="24.85546875" style="1" bestFit="1" customWidth="1"/>
    <col min="2" max="2" width="14.5703125" style="1" bestFit="1" customWidth="1"/>
    <col min="3" max="3" width="23.28515625" style="1" bestFit="1" customWidth="1"/>
    <col min="4" max="4" width="24" style="1" bestFit="1" customWidth="1"/>
    <col min="5" max="7" width="20.7109375" style="1" customWidth="1"/>
    <col min="8" max="8" width="25.85546875" style="1" bestFit="1" customWidth="1"/>
    <col min="9" max="9" width="14.28515625" style="1" customWidth="1"/>
    <col min="10" max="10" width="12.5703125" style="1" bestFit="1" customWidth="1"/>
    <col min="11" max="16384" width="9.140625" style="1"/>
  </cols>
  <sheetData>
    <row r="1" spans="1:8" ht="16.5" thickBot="1" x14ac:dyDescent="0.3">
      <c r="A1" s="129" t="s">
        <v>0</v>
      </c>
      <c r="B1" s="130"/>
      <c r="C1" s="130"/>
    </row>
    <row r="2" spans="1:8" ht="13.5" thickBot="1" x14ac:dyDescent="0.25"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8" ht="13.5" thickBot="1" x14ac:dyDescent="0.25">
      <c r="A3" s="6" t="s">
        <v>6</v>
      </c>
      <c r="B3" s="7">
        <f>B25</f>
        <v>5478813</v>
      </c>
      <c r="C3" s="8">
        <f>1-D3</f>
        <v>0.62244193685190885</v>
      </c>
      <c r="D3" s="9">
        <f>+C37</f>
        <v>0.37755806314809115</v>
      </c>
      <c r="E3" s="10">
        <f>(B3*C3)</f>
        <v>3410242.9753694171</v>
      </c>
      <c r="F3" s="11">
        <f>(B3*D3)</f>
        <v>2068570.0246305827</v>
      </c>
    </row>
    <row r="4" spans="1:8" ht="13.5" thickBot="1" x14ac:dyDescent="0.25">
      <c r="A4" s="12" t="s">
        <v>7</v>
      </c>
      <c r="B4" s="13">
        <f>C25</f>
        <v>7054342</v>
      </c>
      <c r="C4" s="8">
        <f>1-D4</f>
        <v>0.60646318318736614</v>
      </c>
      <c r="D4" s="14">
        <f>+C36</f>
        <v>0.39353681681263386</v>
      </c>
      <c r="E4" s="15">
        <f>B4*C4</f>
        <v>4278198.7046123305</v>
      </c>
      <c r="F4" s="16">
        <f>(B4*D4)</f>
        <v>2776143.295387669</v>
      </c>
    </row>
    <row r="5" spans="1:8" x14ac:dyDescent="0.2">
      <c r="C5" s="17"/>
    </row>
    <row r="6" spans="1:8" x14ac:dyDescent="0.2">
      <c r="A6" s="18"/>
    </row>
    <row r="7" spans="1:8" ht="13.5" thickBot="1" x14ac:dyDescent="0.25"/>
    <row r="8" spans="1:8" ht="13.5" thickBot="1" x14ac:dyDescent="0.25">
      <c r="B8" s="131" t="s">
        <v>8</v>
      </c>
      <c r="C8" s="132"/>
      <c r="D8" s="131" t="s">
        <v>9</v>
      </c>
      <c r="E8" s="132"/>
      <c r="F8" s="131" t="s">
        <v>10</v>
      </c>
      <c r="G8" s="132"/>
      <c r="H8" s="19" t="s">
        <v>11</v>
      </c>
    </row>
    <row r="9" spans="1:8" ht="13.5" thickBot="1" x14ac:dyDescent="0.25">
      <c r="A9" s="20"/>
      <c r="B9" s="21" t="s">
        <v>4</v>
      </c>
      <c r="C9" s="22" t="s">
        <v>5</v>
      </c>
      <c r="D9" s="23" t="s">
        <v>12</v>
      </c>
      <c r="E9" s="24" t="s">
        <v>13</v>
      </c>
      <c r="F9" s="21" t="s">
        <v>14</v>
      </c>
      <c r="G9" s="25" t="s">
        <v>15</v>
      </c>
      <c r="H9" s="26"/>
    </row>
    <row r="10" spans="1:8" ht="13.5" thickBot="1" x14ac:dyDescent="0.25">
      <c r="A10" s="27" t="s">
        <v>6</v>
      </c>
      <c r="B10" s="28">
        <f>E3</f>
        <v>3410242.9753694171</v>
      </c>
      <c r="C10" s="29">
        <f>F3</f>
        <v>2068570.0246305827</v>
      </c>
      <c r="D10" s="30">
        <f>B31+D31</f>
        <v>224559</v>
      </c>
      <c r="E10" s="31">
        <f>C31</f>
        <v>136212</v>
      </c>
      <c r="F10" s="32">
        <f t="shared" ref="F10:F12" si="0">B10/D10</f>
        <v>15.186400791637908</v>
      </c>
      <c r="G10" s="33">
        <f>C10/E10</f>
        <v>15.186400791637908</v>
      </c>
      <c r="H10" s="34">
        <f>G10*2</f>
        <v>30.372801583275816</v>
      </c>
    </row>
    <row r="11" spans="1:8" ht="13.5" thickBot="1" x14ac:dyDescent="0.25">
      <c r="A11" s="35" t="s">
        <v>7</v>
      </c>
      <c r="B11" s="36">
        <f>E4</f>
        <v>4278198.7046123305</v>
      </c>
      <c r="C11" s="37">
        <f>F4</f>
        <v>2776143.295387669</v>
      </c>
      <c r="D11" s="30">
        <f>B30+D30</f>
        <v>243817</v>
      </c>
      <c r="E11" s="31">
        <f>C30</f>
        <v>158214</v>
      </c>
      <c r="F11" s="38">
        <f t="shared" si="0"/>
        <v>17.546761319400741</v>
      </c>
      <c r="G11" s="39">
        <f>C11/E11</f>
        <v>17.546761319400741</v>
      </c>
      <c r="H11" s="40">
        <f>G11*2</f>
        <v>35.093522638801481</v>
      </c>
    </row>
    <row r="12" spans="1:8" ht="13.5" thickBot="1" x14ac:dyDescent="0.25">
      <c r="A12" s="41" t="s">
        <v>16</v>
      </c>
      <c r="B12" s="42">
        <f>B10+B11</f>
        <v>7688441.6799817476</v>
      </c>
      <c r="C12" s="42">
        <f t="shared" ref="C12" si="1">C10+C11</f>
        <v>4844713.3200182514</v>
      </c>
      <c r="D12" s="43">
        <f>D10+D11</f>
        <v>468376</v>
      </c>
      <c r="E12" s="43">
        <f>E10+E11</f>
        <v>294426</v>
      </c>
      <c r="F12" s="42">
        <f t="shared" si="0"/>
        <v>16.41510598318818</v>
      </c>
      <c r="G12" s="44">
        <f>C12/E12</f>
        <v>16.454774102892582</v>
      </c>
      <c r="H12" s="45">
        <f>G12*2</f>
        <v>32.909548205785164</v>
      </c>
    </row>
    <row r="13" spans="1:8" x14ac:dyDescent="0.2">
      <c r="C13" s="46"/>
    </row>
    <row r="14" spans="1:8" ht="13.5" thickBot="1" x14ac:dyDescent="0.25"/>
    <row r="15" spans="1:8" ht="27.75" thickBot="1" x14ac:dyDescent="0.4">
      <c r="A15" s="133" t="s">
        <v>17</v>
      </c>
      <c r="B15" s="134"/>
      <c r="C15" s="134"/>
      <c r="D15" s="134"/>
      <c r="E15" s="134"/>
      <c r="F15" s="135"/>
    </row>
    <row r="16" spans="1:8" x14ac:dyDescent="0.2">
      <c r="A16" s="20"/>
      <c r="B16" s="47"/>
      <c r="C16" s="47"/>
      <c r="D16" s="47"/>
      <c r="E16" s="47"/>
      <c r="F16" s="48"/>
    </row>
    <row r="17" spans="1:6" x14ac:dyDescent="0.2">
      <c r="A17" s="49"/>
      <c r="F17" s="50"/>
    </row>
    <row r="18" spans="1:6" x14ac:dyDescent="0.2">
      <c r="A18" s="51" t="s">
        <v>18</v>
      </c>
      <c r="B18" s="51" t="s">
        <v>19</v>
      </c>
      <c r="C18" s="51"/>
      <c r="D18" s="51"/>
      <c r="F18" s="50"/>
    </row>
    <row r="19" spans="1:6" x14ac:dyDescent="0.2">
      <c r="A19" s="52" t="s">
        <v>20</v>
      </c>
      <c r="B19" s="52">
        <v>1295</v>
      </c>
      <c r="C19" s="52">
        <v>11370</v>
      </c>
      <c r="D19" s="52" t="s">
        <v>21</v>
      </c>
      <c r="F19" s="50"/>
    </row>
    <row r="20" spans="1:6" x14ac:dyDescent="0.2">
      <c r="A20" s="53" t="s">
        <v>22</v>
      </c>
      <c r="B20" s="54">
        <v>180</v>
      </c>
      <c r="C20" s="54">
        <v>7013221</v>
      </c>
      <c r="D20" s="54">
        <f>+B20+C20</f>
        <v>7013401</v>
      </c>
      <c r="F20" s="50"/>
    </row>
    <row r="21" spans="1:6" x14ac:dyDescent="0.2">
      <c r="A21" s="53" t="s">
        <v>23</v>
      </c>
      <c r="B21" s="54">
        <v>4780903</v>
      </c>
      <c r="C21" s="54"/>
      <c r="D21" s="54">
        <f t="shared" ref="D21:D24" si="2">+B21+C21</f>
        <v>4780903</v>
      </c>
      <c r="F21" s="50"/>
    </row>
    <row r="22" spans="1:6" x14ac:dyDescent="0.2">
      <c r="A22" s="53" t="s">
        <v>24</v>
      </c>
      <c r="B22" s="54">
        <v>697730</v>
      </c>
      <c r="C22" s="54"/>
      <c r="D22" s="54">
        <f t="shared" si="2"/>
        <v>697730</v>
      </c>
      <c r="F22" s="50"/>
    </row>
    <row r="23" spans="1:6" x14ac:dyDescent="0.2">
      <c r="A23" s="53" t="s">
        <v>25</v>
      </c>
      <c r="B23" s="54"/>
      <c r="C23" s="54">
        <v>41121</v>
      </c>
      <c r="D23" s="54">
        <f t="shared" si="2"/>
        <v>41121</v>
      </c>
      <c r="F23" s="50"/>
    </row>
    <row r="24" spans="1:6" x14ac:dyDescent="0.2">
      <c r="A24" s="53" t="s">
        <v>26</v>
      </c>
      <c r="B24" s="54">
        <v>0</v>
      </c>
      <c r="C24" s="54"/>
      <c r="D24" s="54">
        <f t="shared" si="2"/>
        <v>0</v>
      </c>
      <c r="F24" s="50"/>
    </row>
    <row r="25" spans="1:6" x14ac:dyDescent="0.2">
      <c r="A25" s="55" t="s">
        <v>21</v>
      </c>
      <c r="B25" s="56">
        <f>SUM(B20:B24)</f>
        <v>5478813</v>
      </c>
      <c r="C25" s="56">
        <f>SUM(C20:C24)</f>
        <v>7054342</v>
      </c>
      <c r="D25" s="56">
        <f>SUM(D20:D24)</f>
        <v>12533155</v>
      </c>
      <c r="F25" s="50"/>
    </row>
    <row r="26" spans="1:6" ht="13.5" thickBot="1" x14ac:dyDescent="0.25">
      <c r="A26" s="49"/>
      <c r="F26" s="50"/>
    </row>
    <row r="27" spans="1:6" ht="13.5" thickBot="1" x14ac:dyDescent="0.25">
      <c r="A27" s="57"/>
      <c r="F27" s="50"/>
    </row>
    <row r="28" spans="1:6" ht="15" x14ac:dyDescent="0.25">
      <c r="A28" s="58" t="s">
        <v>27</v>
      </c>
      <c r="B28" s="59" t="s">
        <v>19</v>
      </c>
      <c r="C28" s="59"/>
      <c r="D28" s="59"/>
      <c r="E28" s="60"/>
      <c r="F28" s="50"/>
    </row>
    <row r="29" spans="1:6" ht="15" x14ac:dyDescent="0.25">
      <c r="A29" s="61"/>
      <c r="B29" s="62" t="s">
        <v>28</v>
      </c>
      <c r="C29" s="62" t="s">
        <v>29</v>
      </c>
      <c r="D29" s="62" t="s">
        <v>30</v>
      </c>
      <c r="E29" s="63" t="s">
        <v>21</v>
      </c>
      <c r="F29" s="50"/>
    </row>
    <row r="30" spans="1:6" ht="15" x14ac:dyDescent="0.25">
      <c r="A30" s="64" t="s">
        <v>31</v>
      </c>
      <c r="B30" s="65">
        <v>242910</v>
      </c>
      <c r="C30" s="65">
        <v>158214</v>
      </c>
      <c r="D30" s="65">
        <v>907</v>
      </c>
      <c r="E30" s="66">
        <f>+B30+C30+D30</f>
        <v>402031</v>
      </c>
      <c r="F30" s="50"/>
    </row>
    <row r="31" spans="1:6" ht="15" x14ac:dyDescent="0.25">
      <c r="A31" s="64" t="s">
        <v>32</v>
      </c>
      <c r="B31" s="65">
        <v>222706</v>
      </c>
      <c r="C31" s="65">
        <v>136212</v>
      </c>
      <c r="D31" s="65">
        <v>1853</v>
      </c>
      <c r="E31" s="66">
        <f>+B31+C31+D31</f>
        <v>360771</v>
      </c>
      <c r="F31" s="50"/>
    </row>
    <row r="32" spans="1:6" ht="15.75" thickBot="1" x14ac:dyDescent="0.3">
      <c r="A32" s="67" t="s">
        <v>21</v>
      </c>
      <c r="B32" s="68">
        <f>SUM(B30:B31)</f>
        <v>465616</v>
      </c>
      <c r="C32" s="68">
        <f t="shared" ref="C32:E32" si="3">SUM(C30:C31)</f>
        <v>294426</v>
      </c>
      <c r="D32" s="68">
        <f t="shared" si="3"/>
        <v>2760</v>
      </c>
      <c r="E32" s="68">
        <f t="shared" si="3"/>
        <v>762802</v>
      </c>
      <c r="F32" s="50"/>
    </row>
    <row r="33" spans="1:6" ht="15.75" thickBot="1" x14ac:dyDescent="0.3">
      <c r="A33" s="69" t="s">
        <v>33</v>
      </c>
      <c r="B33" s="70"/>
      <c r="C33" s="70"/>
      <c r="D33" s="70"/>
      <c r="E33" s="71"/>
      <c r="F33" s="50"/>
    </row>
    <row r="34" spans="1:6" ht="15" x14ac:dyDescent="0.25">
      <c r="A34" s="58" t="s">
        <v>27</v>
      </c>
      <c r="B34" s="59" t="s">
        <v>19</v>
      </c>
      <c r="C34" s="59"/>
      <c r="D34" s="59"/>
      <c r="E34" s="60"/>
      <c r="F34" s="50"/>
    </row>
    <row r="35" spans="1:6" ht="15" x14ac:dyDescent="0.25">
      <c r="A35" s="61" t="s">
        <v>34</v>
      </c>
      <c r="B35" s="62" t="s">
        <v>28</v>
      </c>
      <c r="C35" s="62" t="s">
        <v>29</v>
      </c>
      <c r="D35" s="62" t="s">
        <v>30</v>
      </c>
      <c r="E35" s="63" t="s">
        <v>21</v>
      </c>
      <c r="F35" s="50"/>
    </row>
    <row r="36" spans="1:6" ht="15" x14ac:dyDescent="0.25">
      <c r="A36" s="64" t="s">
        <v>31</v>
      </c>
      <c r="B36" s="72">
        <f>B30/$E30</f>
        <v>0.60420713825550765</v>
      </c>
      <c r="C36" s="72">
        <f t="shared" ref="C36:E38" si="4">C30/$E30</f>
        <v>0.39353681681263386</v>
      </c>
      <c r="D36" s="72">
        <f t="shared" si="4"/>
        <v>2.2560449318584884E-3</v>
      </c>
      <c r="E36" s="72">
        <f t="shared" si="4"/>
        <v>1</v>
      </c>
      <c r="F36" s="50"/>
    </row>
    <row r="37" spans="1:6" ht="15" x14ac:dyDescent="0.25">
      <c r="A37" s="64" t="s">
        <v>32</v>
      </c>
      <c r="B37" s="72">
        <f>B31/$E31</f>
        <v>0.61730571470545026</v>
      </c>
      <c r="C37" s="72">
        <f t="shared" si="4"/>
        <v>0.37755806314809115</v>
      </c>
      <c r="D37" s="72">
        <f t="shared" si="4"/>
        <v>5.1362221464585564E-3</v>
      </c>
      <c r="E37" s="73">
        <f t="shared" si="4"/>
        <v>1</v>
      </c>
      <c r="F37" s="50"/>
    </row>
    <row r="38" spans="1:6" ht="15.75" thickBot="1" x14ac:dyDescent="0.3">
      <c r="A38" s="67" t="s">
        <v>21</v>
      </c>
      <c r="B38" s="74">
        <f>B32/$E32</f>
        <v>0.61040217513850248</v>
      </c>
      <c r="C38" s="74">
        <f t="shared" si="4"/>
        <v>0.38597958579028374</v>
      </c>
      <c r="D38" s="74">
        <f t="shared" si="4"/>
        <v>3.618239071213762E-3</v>
      </c>
      <c r="E38" s="75">
        <f t="shared" si="4"/>
        <v>1</v>
      </c>
      <c r="F38" s="50"/>
    </row>
    <row r="39" spans="1:6" ht="13.5" thickBot="1" x14ac:dyDescent="0.25">
      <c r="A39" s="76"/>
      <c r="B39" s="77"/>
      <c r="C39" s="77"/>
      <c r="D39" s="77"/>
      <c r="E39" s="77"/>
      <c r="F39" s="78"/>
    </row>
    <row r="40" spans="1:6" ht="13.5" customHeight="1" x14ac:dyDescent="0.2"/>
    <row r="45" spans="1:6" x14ac:dyDescent="0.2">
      <c r="C45" s="1" t="s">
        <v>35</v>
      </c>
    </row>
    <row r="57" spans="1:4" x14ac:dyDescent="0.2">
      <c r="A57" s="53"/>
      <c r="B57" s="54"/>
      <c r="C57" s="54"/>
      <c r="D57" s="54"/>
    </row>
    <row r="58" spans="1:4" x14ac:dyDescent="0.2">
      <c r="A58" s="79"/>
      <c r="B58" s="54"/>
      <c r="C58" s="54"/>
      <c r="D58" s="54"/>
    </row>
    <row r="59" spans="1:4" x14ac:dyDescent="0.2">
      <c r="A59" s="79"/>
      <c r="B59" s="54"/>
      <c r="C59" s="54"/>
      <c r="D59" s="54"/>
    </row>
    <row r="60" spans="1:4" x14ac:dyDescent="0.2">
      <c r="A60" s="79"/>
      <c r="B60" s="54"/>
      <c r="C60" s="54"/>
      <c r="D60" s="54"/>
    </row>
    <row r="61" spans="1:4" x14ac:dyDescent="0.2">
      <c r="A61" s="79"/>
      <c r="B61" s="54"/>
      <c r="C61" s="54"/>
      <c r="D61" s="54"/>
    </row>
    <row r="62" spans="1:4" x14ac:dyDescent="0.2">
      <c r="A62" s="79"/>
      <c r="B62" s="54"/>
      <c r="C62" s="54"/>
      <c r="D62" s="54"/>
    </row>
    <row r="63" spans="1:4" x14ac:dyDescent="0.2">
      <c r="A63" s="79"/>
      <c r="B63" s="54"/>
      <c r="C63" s="54"/>
      <c r="D63" s="54"/>
    </row>
    <row r="64" spans="1:4" x14ac:dyDescent="0.2">
      <c r="A64" s="79"/>
      <c r="B64" s="54"/>
      <c r="C64" s="54"/>
      <c r="D64" s="54"/>
    </row>
    <row r="65" spans="1:4" x14ac:dyDescent="0.2">
      <c r="A65" s="79"/>
      <c r="B65" s="54"/>
      <c r="C65" s="54"/>
      <c r="D65" s="54"/>
    </row>
    <row r="66" spans="1:4" x14ac:dyDescent="0.2">
      <c r="A66" s="79"/>
      <c r="B66" s="54"/>
      <c r="C66" s="54"/>
      <c r="D66" s="54"/>
    </row>
    <row r="67" spans="1:4" x14ac:dyDescent="0.2">
      <c r="A67" s="79"/>
      <c r="B67" s="54"/>
      <c r="C67" s="54"/>
      <c r="D67" s="54"/>
    </row>
    <row r="68" spans="1:4" x14ac:dyDescent="0.2">
      <c r="A68" s="79"/>
      <c r="B68" s="54"/>
      <c r="C68" s="54"/>
      <c r="D68" s="54"/>
    </row>
    <row r="69" spans="1:4" x14ac:dyDescent="0.2">
      <c r="A69" s="79"/>
      <c r="B69" s="54"/>
      <c r="C69" s="54"/>
      <c r="D69" s="54"/>
    </row>
    <row r="70" spans="1:4" x14ac:dyDescent="0.2">
      <c r="A70" s="79"/>
      <c r="B70" s="54"/>
      <c r="C70" s="54"/>
      <c r="D70" s="54"/>
    </row>
    <row r="71" spans="1:4" x14ac:dyDescent="0.2">
      <c r="A71" s="79"/>
      <c r="B71" s="54"/>
      <c r="C71" s="54"/>
      <c r="D71" s="54"/>
    </row>
    <row r="72" spans="1:4" x14ac:dyDescent="0.2">
      <c r="A72" s="79"/>
      <c r="B72" s="54"/>
      <c r="C72" s="54"/>
      <c r="D72" s="54"/>
    </row>
    <row r="73" spans="1:4" x14ac:dyDescent="0.2">
      <c r="A73" s="79"/>
      <c r="B73" s="54"/>
      <c r="C73" s="54"/>
      <c r="D73" s="54"/>
    </row>
    <row r="74" spans="1:4" x14ac:dyDescent="0.2">
      <c r="A74" s="79"/>
      <c r="B74" s="54"/>
      <c r="C74" s="54"/>
      <c r="D74" s="54"/>
    </row>
    <row r="75" spans="1:4" x14ac:dyDescent="0.2">
      <c r="A75" s="79"/>
      <c r="B75" s="54"/>
      <c r="C75" s="54"/>
      <c r="D75" s="54"/>
    </row>
    <row r="76" spans="1:4" x14ac:dyDescent="0.2">
      <c r="A76" s="79"/>
      <c r="B76" s="54"/>
      <c r="C76" s="54"/>
      <c r="D76" s="54"/>
    </row>
    <row r="77" spans="1:4" x14ac:dyDescent="0.2">
      <c r="A77" s="79"/>
      <c r="B77" s="54"/>
      <c r="C77" s="54"/>
      <c r="D77" s="54"/>
    </row>
    <row r="78" spans="1:4" x14ac:dyDescent="0.2">
      <c r="A78" s="79"/>
      <c r="B78" s="54"/>
      <c r="C78" s="54"/>
      <c r="D78" s="54"/>
    </row>
    <row r="79" spans="1:4" x14ac:dyDescent="0.2">
      <c r="A79" s="79"/>
      <c r="B79" s="54"/>
      <c r="C79" s="54"/>
      <c r="D79" s="54"/>
    </row>
    <row r="80" spans="1:4" x14ac:dyDescent="0.2">
      <c r="A80" s="79"/>
      <c r="B80" s="54"/>
      <c r="C80" s="54"/>
      <c r="D80" s="54"/>
    </row>
    <row r="81" spans="1:4" x14ac:dyDescent="0.2">
      <c r="A81" s="53"/>
      <c r="B81" s="54"/>
      <c r="C81" s="54"/>
      <c r="D81" s="54"/>
    </row>
    <row r="82" spans="1:4" x14ac:dyDescent="0.2">
      <c r="A82" s="79"/>
      <c r="B82" s="54"/>
      <c r="C82" s="54"/>
      <c r="D82" s="54"/>
    </row>
    <row r="83" spans="1:4" x14ac:dyDescent="0.2">
      <c r="A83" s="79"/>
      <c r="B83" s="54"/>
      <c r="C83" s="54"/>
      <c r="D83" s="54"/>
    </row>
    <row r="84" spans="1:4" x14ac:dyDescent="0.2">
      <c r="A84" s="79"/>
      <c r="B84" s="54"/>
      <c r="C84" s="54"/>
      <c r="D84" s="54"/>
    </row>
    <row r="85" spans="1:4" x14ac:dyDescent="0.2">
      <c r="A85" s="79"/>
      <c r="B85" s="54"/>
      <c r="C85" s="54"/>
      <c r="D85" s="54"/>
    </row>
    <row r="86" spans="1:4" x14ac:dyDescent="0.2">
      <c r="A86" s="79"/>
      <c r="B86" s="54"/>
      <c r="C86" s="54"/>
      <c r="D86" s="54"/>
    </row>
    <row r="87" spans="1:4" x14ac:dyDescent="0.2">
      <c r="A87" s="79"/>
      <c r="B87" s="54"/>
      <c r="C87" s="54"/>
      <c r="D87" s="54"/>
    </row>
    <row r="88" spans="1:4" x14ac:dyDescent="0.2">
      <c r="A88" s="79"/>
      <c r="B88" s="54"/>
      <c r="C88" s="54"/>
      <c r="D88" s="54"/>
    </row>
    <row r="89" spans="1:4" x14ac:dyDescent="0.2">
      <c r="A89" s="79"/>
      <c r="B89" s="54"/>
      <c r="C89" s="54"/>
      <c r="D89" s="54"/>
    </row>
    <row r="90" spans="1:4" x14ac:dyDescent="0.2">
      <c r="A90" s="79"/>
      <c r="B90" s="54"/>
      <c r="C90" s="54"/>
      <c r="D90" s="54"/>
    </row>
    <row r="91" spans="1:4" x14ac:dyDescent="0.2">
      <c r="A91" s="79"/>
      <c r="B91" s="54"/>
      <c r="C91" s="54"/>
      <c r="D91" s="54"/>
    </row>
    <row r="92" spans="1:4" x14ac:dyDescent="0.2">
      <c r="A92" s="79"/>
      <c r="B92" s="54"/>
      <c r="C92" s="54"/>
      <c r="D92" s="54"/>
    </row>
    <row r="93" spans="1:4" x14ac:dyDescent="0.2">
      <c r="A93" s="79"/>
      <c r="B93" s="54"/>
      <c r="C93" s="54"/>
      <c r="D93" s="54"/>
    </row>
    <row r="94" spans="1:4" x14ac:dyDescent="0.2">
      <c r="A94" s="79"/>
      <c r="B94" s="54"/>
      <c r="C94" s="54"/>
      <c r="D94" s="54"/>
    </row>
    <row r="95" spans="1:4" x14ac:dyDescent="0.2">
      <c r="A95" s="79"/>
      <c r="B95" s="54"/>
      <c r="C95" s="54"/>
      <c r="D95" s="54"/>
    </row>
    <row r="96" spans="1:4" x14ac:dyDescent="0.2">
      <c r="A96" s="79"/>
      <c r="B96" s="54"/>
      <c r="C96" s="54"/>
      <c r="D96" s="54"/>
    </row>
    <row r="97" spans="1:4" x14ac:dyDescent="0.2">
      <c r="A97" s="79"/>
      <c r="B97" s="54"/>
      <c r="C97" s="54"/>
      <c r="D97" s="54"/>
    </row>
    <row r="98" spans="1:4" x14ac:dyDescent="0.2">
      <c r="A98" s="53"/>
      <c r="B98" s="54"/>
      <c r="C98" s="54"/>
      <c r="D98" s="54"/>
    </row>
    <row r="99" spans="1:4" x14ac:dyDescent="0.2">
      <c r="A99" s="79"/>
      <c r="B99" s="54"/>
      <c r="C99" s="54"/>
      <c r="D99" s="54"/>
    </row>
    <row r="100" spans="1:4" x14ac:dyDescent="0.2">
      <c r="A100" s="79"/>
      <c r="B100" s="54"/>
      <c r="C100" s="54"/>
      <c r="D100" s="54"/>
    </row>
    <row r="101" spans="1:4" x14ac:dyDescent="0.2">
      <c r="A101" s="79"/>
      <c r="B101" s="54"/>
      <c r="C101" s="54"/>
      <c r="D101" s="54"/>
    </row>
    <row r="102" spans="1:4" x14ac:dyDescent="0.2">
      <c r="A102" s="79"/>
      <c r="B102" s="54"/>
      <c r="C102" s="54"/>
      <c r="D102" s="54"/>
    </row>
    <row r="103" spans="1:4" x14ac:dyDescent="0.2">
      <c r="A103" s="79"/>
      <c r="B103" s="54"/>
      <c r="C103" s="54"/>
      <c r="D103" s="54"/>
    </row>
    <row r="104" spans="1:4" x14ac:dyDescent="0.2">
      <c r="A104" s="79"/>
      <c r="B104" s="54"/>
      <c r="C104" s="54"/>
      <c r="D104" s="54"/>
    </row>
    <row r="105" spans="1:4" x14ac:dyDescent="0.2">
      <c r="A105" s="79"/>
      <c r="B105" s="54"/>
      <c r="C105" s="54"/>
      <c r="D105" s="54"/>
    </row>
    <row r="106" spans="1:4" x14ac:dyDescent="0.2">
      <c r="A106" s="79"/>
      <c r="B106" s="54"/>
      <c r="C106" s="54"/>
      <c r="D106" s="54"/>
    </row>
    <row r="107" spans="1:4" x14ac:dyDescent="0.2">
      <c r="A107" s="53"/>
      <c r="B107" s="54"/>
      <c r="C107" s="54"/>
      <c r="D107" s="54"/>
    </row>
    <row r="108" spans="1:4" x14ac:dyDescent="0.2">
      <c r="A108" s="79"/>
      <c r="B108" s="54"/>
      <c r="C108" s="54"/>
      <c r="D108" s="54"/>
    </row>
    <row r="109" spans="1:4" x14ac:dyDescent="0.2">
      <c r="A109" s="79"/>
      <c r="B109" s="54"/>
      <c r="C109" s="54"/>
      <c r="D109" s="54"/>
    </row>
    <row r="110" spans="1:4" x14ac:dyDescent="0.2">
      <c r="A110" s="79"/>
      <c r="B110" s="54"/>
      <c r="C110" s="54"/>
      <c r="D110" s="54"/>
    </row>
    <row r="111" spans="1:4" x14ac:dyDescent="0.2">
      <c r="A111" s="79"/>
      <c r="B111" s="54"/>
      <c r="C111" s="54"/>
      <c r="D111" s="54"/>
    </row>
    <row r="112" spans="1:4" x14ac:dyDescent="0.2">
      <c r="A112" s="79"/>
      <c r="B112" s="54"/>
      <c r="C112" s="54"/>
      <c r="D112" s="54"/>
    </row>
    <row r="113" spans="1:4" x14ac:dyDescent="0.2">
      <c r="A113" s="79"/>
      <c r="B113" s="54"/>
      <c r="C113" s="54"/>
      <c r="D113" s="54"/>
    </row>
    <row r="114" spans="1:4" x14ac:dyDescent="0.2">
      <c r="A114" s="79"/>
      <c r="B114" s="54"/>
      <c r="C114" s="54"/>
      <c r="D114" s="54"/>
    </row>
    <row r="115" spans="1:4" x14ac:dyDescent="0.2">
      <c r="A115" s="53"/>
      <c r="B115" s="54"/>
      <c r="C115" s="54"/>
      <c r="D115" s="54"/>
    </row>
    <row r="116" spans="1:4" x14ac:dyDescent="0.2">
      <c r="A116" s="79"/>
      <c r="B116" s="54"/>
      <c r="C116" s="54"/>
      <c r="D116" s="54"/>
    </row>
    <row r="117" spans="1:4" x14ac:dyDescent="0.2">
      <c r="A117" s="79"/>
      <c r="B117" s="54"/>
      <c r="C117" s="54"/>
      <c r="D117" s="54"/>
    </row>
    <row r="118" spans="1:4" x14ac:dyDescent="0.2">
      <c r="A118" s="53"/>
      <c r="B118" s="54"/>
      <c r="C118" s="54"/>
      <c r="D118" s="54"/>
    </row>
  </sheetData>
  <mergeCells count="5">
    <mergeCell ref="A1:C1"/>
    <mergeCell ref="B8:C8"/>
    <mergeCell ref="D8:E8"/>
    <mergeCell ref="F8:G8"/>
    <mergeCell ref="A15:F15"/>
  </mergeCells>
  <pageMargins left="0.7" right="0.7" top="0.75" bottom="0.75" header="0.3" footer="0.3"/>
  <pageSetup scale="69" orientation="landscape" r:id="rId1"/>
  <headerFooter>
    <oddFooter>&amp;R&amp;"times,Bold"&amp;12Case Nos. 2020-00349, 2020-00350
Attachment to Response to PSC-PH Question No. 24
Page 3 of 3
Seelye/Saunders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8" ma:contentTypeDescription="Create a new document." ma:contentTypeScope="" ma:versionID="0465c2eaab3bb1bd9094b9ee88cf7ab4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ae14687813701f2e93e2ae4210dcf35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1" ma:format="Dropdown" ma:indexed="true" ma:internalName="Year" ma:readOnly="false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Billing Determinants"/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Post Hearing 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024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123751B2-109F-420B-B6AC-F91ADC468432}"/>
</file>

<file path=customXml/itemProps2.xml><?xml version="1.0" encoding="utf-8"?>
<ds:datastoreItem xmlns:ds="http://schemas.openxmlformats.org/officeDocument/2006/customXml" ds:itemID="{FE7C146F-7080-4785-BB48-1A30F486DBCD}"/>
</file>

<file path=customXml/itemProps3.xml><?xml version="1.0" encoding="utf-8"?>
<ds:datastoreItem xmlns:ds="http://schemas.openxmlformats.org/officeDocument/2006/customXml" ds:itemID="{D77F3818-6861-4B68-8B48-F9E7094EBEB5}"/>
</file>

<file path=customXml/itemProps4.xml><?xml version="1.0" encoding="utf-8"?>
<ds:datastoreItem xmlns:ds="http://schemas.openxmlformats.org/officeDocument/2006/customXml" ds:itemID="{A3FC15AB-E82E-4FB5-8246-CA798ABA4592}"/>
</file>

<file path=customXml/itemProps5.xml><?xml version="1.0" encoding="utf-8"?>
<ds:datastoreItem xmlns:ds="http://schemas.openxmlformats.org/officeDocument/2006/customXml" ds:itemID="{7C360FA6-5335-4B68-8FBE-08ADD06D89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KU Disconnect-Reconnect Charge</vt:lpstr>
      <vt:lpstr>LGE Disconnect-Reconnect Charge</vt:lpstr>
      <vt:lpstr>Cost Per Order Type Field Ser</vt:lpstr>
      <vt:lpstr>'Cost Per Order Type Field Ser'!Print_Area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2021-05-12T19:06:25Z</dcterms:created>
  <dcterms:modified xsi:type="dcterms:W3CDTF">2021-05-12T19:37:55Z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2021-05-12T19:06:37Z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bc833e70-5840-4ac3-98cc-be71209b8008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