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24226"/>
  <xr:revisionPtr revIDLastSave="0" documentId="13_ncr:1_{EE676558-11BD-4D1A-89FA-09F7044C95D7}" xr6:coauthVersionLast="46" xr6:coauthVersionMax="46" xr10:uidLastSave="{00000000-0000-0000-0000-000000000000}"/>
  <bookViews>
    <workbookView xWindow="28680" yWindow="-120" windowWidth="29040" windowHeight="15840" tabRatio="853" xr2:uid="{00000000-000D-0000-FFFF-FFFF00000000}"/>
  </bookViews>
  <sheets>
    <sheet name="Index" sheetId="80" r:id="rId1"/>
    <sheet name="Sch M-2.1-G" sheetId="82" r:id="rId2"/>
    <sheet name="Sch M-2.2-G" sheetId="81" r:id="rId3"/>
    <sheet name="Sch M-2.3 Pg.1" sheetId="5" r:id="rId4"/>
    <sheet name="Sch M-2.3 Pg. 2-11" sheetId="6" r:id="rId5"/>
  </sheets>
  <externalReferences>
    <externalReference r:id="rId6"/>
  </externalReferences>
  <definedNames>
    <definedName name="BNE_MESSAGES_HIDDEN" localSheetId="4" hidden="1">#REF!</definedName>
    <definedName name="BNE_MESSAGES_HIDDEN" hidden="1">#REF!</definedName>
    <definedName name="DolUnitFactor">[1]ListsValues!$M$29</definedName>
    <definedName name="_xlnm.Print_Area" localSheetId="0">Index!$A$1:$L$22</definedName>
    <definedName name="_xlnm.Print_Area" localSheetId="1">'Sch M-2.1-G'!$A$1:$E$44</definedName>
    <definedName name="_xlnm.Print_Area" localSheetId="2">'Sch M-2.2-G'!$A$1:$K$33</definedName>
    <definedName name="_xlnm.Print_Area" localSheetId="4">'Sch M-2.3 Pg. 2-11'!$B$1:$N$320</definedName>
    <definedName name="_xlnm.Print_Area" localSheetId="3">'Sch M-2.3 Pg.1'!$A$1:$I$42</definedName>
    <definedName name="_xlnm.Print_Titles" localSheetId="4">'Sch M-2.3 Pg. 2-11'!$1:$13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82" l="1"/>
  <c r="M47" i="6"/>
  <c r="P253" i="6" l="1"/>
  <c r="P19" i="6"/>
  <c r="H40" i="5" l="1"/>
  <c r="D53" i="82" l="1"/>
  <c r="D58" i="82" s="1"/>
  <c r="M59" i="6" l="1"/>
  <c r="P128" i="6"/>
  <c r="M136" i="6"/>
  <c r="M216" i="6"/>
  <c r="M278" i="6" s="1"/>
  <c r="M217" i="6"/>
  <c r="M279" i="6" l="1"/>
  <c r="M60" i="6"/>
  <c r="C42" i="82" l="1"/>
  <c r="M304" i="6" l="1"/>
  <c r="M303" i="6"/>
  <c r="M228" i="6"/>
  <c r="M227" i="6"/>
  <c r="M100" i="6"/>
  <c r="M89" i="6"/>
  <c r="M101" i="6" l="1"/>
  <c r="P127" i="6"/>
  <c r="C31" i="81" l="1"/>
  <c r="D31" i="81" s="1"/>
  <c r="F31" i="81" l="1"/>
  <c r="K31" i="81" s="1"/>
  <c r="I31" i="81"/>
  <c r="J31" i="81" l="1"/>
  <c r="M31" i="81" l="1"/>
  <c r="M160" i="6" l="1"/>
  <c r="J164" i="6"/>
  <c r="J162" i="6"/>
  <c r="M162" i="6"/>
  <c r="J163" i="6"/>
  <c r="J160" i="6"/>
  <c r="M302" i="6" l="1"/>
  <c r="M86" i="6"/>
  <c r="M85" i="6"/>
  <c r="M300" i="6"/>
  <c r="M98" i="6"/>
  <c r="J85" i="6"/>
  <c r="J86" i="6"/>
  <c r="H98" i="6"/>
  <c r="J98" i="6" s="1"/>
  <c r="H97" i="6"/>
  <c r="J97" i="6" s="1"/>
  <c r="M97" i="6" l="1"/>
  <c r="P86" i="6"/>
  <c r="P85" i="6"/>
  <c r="D40" i="82"/>
  <c r="H38" i="5" l="1"/>
  <c r="C40" i="82"/>
  <c r="A40" i="5"/>
  <c r="A39" i="5"/>
  <c r="A38" i="5"/>
  <c r="A37" i="5"/>
  <c r="B40" i="5" l="1"/>
  <c r="G40" i="5" s="1"/>
  <c r="B39" i="5"/>
  <c r="G39" i="5" s="1"/>
  <c r="B38" i="5"/>
  <c r="G38" i="5" s="1"/>
  <c r="J277" i="6" l="1"/>
  <c r="J278" i="6"/>
  <c r="J279" i="6"/>
  <c r="B37" i="5" l="1"/>
  <c r="J150" i="6" l="1"/>
  <c r="J115" i="6"/>
  <c r="M115" i="6"/>
  <c r="J255" i="6" l="1"/>
  <c r="M190" i="6"/>
  <c r="M223" i="6"/>
  <c r="J253" i="6"/>
  <c r="J127" i="6"/>
  <c r="M74" i="6"/>
  <c r="J178" i="6"/>
  <c r="M178" i="6"/>
  <c r="J214" i="6"/>
  <c r="M214" i="6"/>
  <c r="J242" i="6"/>
  <c r="M242" i="6"/>
  <c r="J215" i="6"/>
  <c r="M215" i="6"/>
  <c r="J300" i="6"/>
  <c r="J304" i="6"/>
  <c r="K304" i="6" s="1"/>
  <c r="J223" i="6"/>
  <c r="J190" i="6"/>
  <c r="J254" i="6"/>
  <c r="J191" i="6"/>
  <c r="J192" i="6"/>
  <c r="J302" i="6"/>
  <c r="H136" i="6"/>
  <c r="J136" i="6" s="1"/>
  <c r="H225" i="6"/>
  <c r="J225" i="6" s="1"/>
  <c r="H226" i="6"/>
  <c r="J226" i="6" s="1"/>
  <c r="M150" i="6" l="1"/>
  <c r="M225" i="6"/>
  <c r="N150" i="6"/>
  <c r="M277" i="6"/>
  <c r="M226" i="6"/>
  <c r="N74" i="6"/>
  <c r="J88" i="6" l="1"/>
  <c r="J46" i="6"/>
  <c r="J216" i="6"/>
  <c r="J89" i="6"/>
  <c r="J217" i="6"/>
  <c r="J20" i="6"/>
  <c r="J303" i="6"/>
  <c r="H59" i="6"/>
  <c r="J59" i="6" s="1"/>
  <c r="H100" i="6"/>
  <c r="J100" i="6" s="1"/>
  <c r="H227" i="6"/>
  <c r="H228" i="6"/>
  <c r="J228" i="6" s="1"/>
  <c r="H101" i="6"/>
  <c r="J101" i="6" s="1"/>
  <c r="J47" i="6" l="1"/>
  <c r="N254" i="6"/>
  <c r="J227" i="6"/>
  <c r="K282" i="6"/>
  <c r="K89" i="6"/>
  <c r="K97" i="6"/>
  <c r="H60" i="6"/>
  <c r="J60" i="6" s="1"/>
  <c r="K60" i="6" s="1"/>
  <c r="K85" i="6" l="1"/>
  <c r="Q85" i="6"/>
  <c r="N315" i="6"/>
  <c r="E33" i="5"/>
  <c r="N175" i="6"/>
  <c r="E23" i="5"/>
  <c r="K216" i="6"/>
  <c r="K46" i="6"/>
  <c r="K88" i="6"/>
  <c r="K242" i="6"/>
  <c r="I242" i="6"/>
  <c r="N98" i="6"/>
  <c r="K98" i="6"/>
  <c r="K47" i="6"/>
  <c r="I164" i="6"/>
  <c r="K164" i="6"/>
  <c r="N97" i="6"/>
  <c r="I97" i="6"/>
  <c r="N85" i="6"/>
  <c r="I85" i="6"/>
  <c r="M282" i="6"/>
  <c r="N282" i="6" s="1"/>
  <c r="N286" i="6" s="1"/>
  <c r="I282" i="6"/>
  <c r="I286" i="6" s="1"/>
  <c r="N242" i="6"/>
  <c r="K86" i="6" l="1"/>
  <c r="Q86" i="6"/>
  <c r="Q87" i="6" s="1"/>
  <c r="R87" i="6" s="1"/>
  <c r="B31" i="5"/>
  <c r="K20" i="6"/>
  <c r="F25" i="5"/>
  <c r="K90" i="6"/>
  <c r="I20" i="6"/>
  <c r="K217" i="6"/>
  <c r="I217" i="6"/>
  <c r="I86" i="6"/>
  <c r="N86" i="6"/>
  <c r="K303" i="6" l="1"/>
  <c r="K150" i="6"/>
  <c r="K279" i="6" l="1"/>
  <c r="I279" i="6"/>
  <c r="N279" i="6"/>
  <c r="K178" i="6"/>
  <c r="K228" i="6" l="1"/>
  <c r="K223" i="6"/>
  <c r="K225" i="6"/>
  <c r="N227" i="6" l="1"/>
  <c r="K227" i="6"/>
  <c r="I227" i="6"/>
  <c r="I228" i="6"/>
  <c r="N228" i="6"/>
  <c r="I223" i="6"/>
  <c r="N225" i="6"/>
  <c r="I225" i="6"/>
  <c r="N239" i="6" l="1"/>
  <c r="E25" i="5" l="1"/>
  <c r="N203" i="6"/>
  <c r="N71" i="6"/>
  <c r="E17" i="5"/>
  <c r="N112" i="6"/>
  <c r="E19" i="5"/>
  <c r="N31" i="6"/>
  <c r="E15" i="5"/>
  <c r="N147" i="6"/>
  <c r="E21" i="5"/>
  <c r="E27" i="5"/>
  <c r="N290" i="6"/>
  <c r="E31" i="5"/>
  <c r="N266" i="6"/>
  <c r="E29" i="5"/>
  <c r="A5" i="81" l="1"/>
  <c r="A4" i="81"/>
  <c r="A3" i="81"/>
  <c r="A2" i="81"/>
  <c r="A1" i="81"/>
  <c r="A5" i="5" l="1"/>
  <c r="B4" i="6"/>
  <c r="B3" i="6"/>
  <c r="B2" i="6"/>
  <c r="B1" i="6"/>
  <c r="A4" i="82"/>
  <c r="A3" i="82"/>
  <c r="A2" i="82"/>
  <c r="A1" i="82"/>
  <c r="E10" i="82"/>
  <c r="A7" i="81"/>
  <c r="A8" i="81"/>
  <c r="K7" i="81"/>
  <c r="A9" i="81"/>
  <c r="A9" i="5"/>
  <c r="A8" i="5"/>
  <c r="A7" i="5"/>
  <c r="A4" i="5"/>
  <c r="A3" i="5"/>
  <c r="A2" i="5"/>
  <c r="A1" i="5"/>
  <c r="I8" i="5"/>
  <c r="I7" i="5"/>
  <c r="M133" i="6" l="1"/>
  <c r="M54" i="6"/>
  <c r="M95" i="6"/>
  <c r="P43" i="6"/>
  <c r="J126" i="6"/>
  <c r="P44" i="6"/>
  <c r="J133" i="6"/>
  <c r="J43" i="6"/>
  <c r="J54" i="6"/>
  <c r="J44" i="6"/>
  <c r="J95" i="6"/>
  <c r="J19" i="6"/>
  <c r="M19" i="6" s="1"/>
  <c r="H135" i="6"/>
  <c r="J135" i="6" s="1"/>
  <c r="H56" i="6"/>
  <c r="J56" i="6" s="1"/>
  <c r="K56" i="6" s="1"/>
  <c r="H57" i="6"/>
  <c r="J57" i="6" s="1"/>
  <c r="K57" i="6" s="1"/>
  <c r="P48" i="6" l="1"/>
  <c r="K43" i="6"/>
  <c r="P45" i="6"/>
  <c r="Q45" i="6" s="1"/>
  <c r="Q47" i="6" s="1"/>
  <c r="P254" i="6"/>
  <c r="K44" i="6"/>
  <c r="K48" i="6" s="1"/>
  <c r="K19" i="6"/>
  <c r="K21" i="6" s="1"/>
  <c r="N19" i="6"/>
  <c r="K277" i="6"/>
  <c r="K278" i="6"/>
  <c r="K253" i="6"/>
  <c r="N126" i="6"/>
  <c r="K126" i="6"/>
  <c r="N127" i="6"/>
  <c r="K127" i="6"/>
  <c r="M135" i="6"/>
  <c r="I19" i="6"/>
  <c r="I56" i="6"/>
  <c r="N304" i="6"/>
  <c r="M43" i="6" l="1"/>
  <c r="M44" i="6"/>
  <c r="P42" i="6"/>
  <c r="P255" i="6"/>
  <c r="N44" i="6"/>
  <c r="M57" i="6"/>
  <c r="P20" i="6"/>
  <c r="K280" i="6"/>
  <c r="N223" i="6"/>
  <c r="B29" i="81"/>
  <c r="D29" i="81" s="1"/>
  <c r="N278" i="6"/>
  <c r="I278" i="6"/>
  <c r="I277" i="6"/>
  <c r="C29" i="81"/>
  <c r="I29" i="81" s="1"/>
  <c r="N128" i="6"/>
  <c r="N59" i="6"/>
  <c r="K59" i="6"/>
  <c r="K128" i="6"/>
  <c r="N277" i="6"/>
  <c r="I304" i="6"/>
  <c r="N8" i="6"/>
  <c r="N7" i="6"/>
  <c r="B9" i="6"/>
  <c r="B8" i="6"/>
  <c r="B7" i="6"/>
  <c r="M253" i="6" l="1"/>
  <c r="M56" i="6"/>
  <c r="N56" i="6" s="1"/>
  <c r="N43" i="6"/>
  <c r="F29" i="81"/>
  <c r="K29" i="81" s="1"/>
  <c r="J29" i="81" l="1"/>
  <c r="F33" i="5"/>
  <c r="N60" i="6"/>
  <c r="N57" i="6"/>
  <c r="M29" i="81" l="1"/>
  <c r="I60" i="6"/>
  <c r="I57" i="6"/>
  <c r="K54" i="6"/>
  <c r="K61" i="6" s="1"/>
  <c r="N54" i="6" l="1"/>
  <c r="N61" i="6" s="1"/>
  <c r="K160" i="6" l="1"/>
  <c r="N47" i="6" l="1"/>
  <c r="I47" i="6"/>
  <c r="E162" i="6"/>
  <c r="I98" i="6"/>
  <c r="K95" i="6" l="1"/>
  <c r="N162" i="6"/>
  <c r="K162" i="6"/>
  <c r="N100" i="6"/>
  <c r="K100" i="6"/>
  <c r="N95" i="6"/>
  <c r="N164" i="6"/>
  <c r="K163" i="6"/>
  <c r="C15" i="81"/>
  <c r="N46" i="6"/>
  <c r="N48" i="6" s="1"/>
  <c r="I162" i="6"/>
  <c r="I100" i="6"/>
  <c r="N101" i="6" l="1"/>
  <c r="N102" i="6" s="1"/>
  <c r="K101" i="6"/>
  <c r="K102" i="6" s="1"/>
  <c r="K165" i="6"/>
  <c r="I101" i="6"/>
  <c r="E42" i="82" l="1"/>
  <c r="I40" i="5" s="1"/>
  <c r="K169" i="6" l="1"/>
  <c r="N217" i="6"/>
  <c r="F23" i="5" l="1"/>
  <c r="N173" i="6" l="1"/>
  <c r="G37" i="5" l="1"/>
  <c r="K167" i="6" l="1"/>
  <c r="M104" i="6"/>
  <c r="N104" i="6" s="1"/>
  <c r="K104" i="6"/>
  <c r="K171" i="6" l="1"/>
  <c r="K180" i="6" s="1"/>
  <c r="I54" i="6" l="1"/>
  <c r="C23" i="5"/>
  <c r="K74" i="6" l="1"/>
  <c r="N115" i="6"/>
  <c r="K115" i="6"/>
  <c r="D33" i="5"/>
  <c r="N314" i="6"/>
  <c r="C33" i="5"/>
  <c r="N313" i="6"/>
  <c r="I95" i="6"/>
  <c r="I102" i="6" s="1"/>
  <c r="I104" i="6" s="1"/>
  <c r="N303" i="6"/>
  <c r="I303" i="6"/>
  <c r="I178" i="6"/>
  <c r="N178" i="6"/>
  <c r="I150" i="6"/>
  <c r="I115" i="6"/>
  <c r="I74" i="6"/>
  <c r="K286" i="6" l="1"/>
  <c r="D25" i="5" l="1"/>
  <c r="K260" i="6"/>
  <c r="F31" i="5"/>
  <c r="M307" i="6"/>
  <c r="M130" i="6"/>
  <c r="N130" i="6" s="1"/>
  <c r="K130" i="6"/>
  <c r="N70" i="6"/>
  <c r="E31" i="81"/>
  <c r="B34" i="82" s="1"/>
  <c r="N174" i="6"/>
  <c r="N202" i="6" l="1"/>
  <c r="F29" i="5"/>
  <c r="K141" i="6"/>
  <c r="K106" i="6"/>
  <c r="K65" i="6"/>
  <c r="K25" i="6"/>
  <c r="K233" i="6"/>
  <c r="M63" i="6"/>
  <c r="N63" i="6" s="1"/>
  <c r="K63" i="6"/>
  <c r="N289" i="6"/>
  <c r="D31" i="5"/>
  <c r="H31" i="81"/>
  <c r="D23" i="5"/>
  <c r="C34" i="82" l="1"/>
  <c r="F27" i="5"/>
  <c r="F21" i="5"/>
  <c r="F19" i="5"/>
  <c r="F17" i="5"/>
  <c r="F15" i="5"/>
  <c r="I63" i="6"/>
  <c r="F35" i="5" l="1"/>
  <c r="F42" i="5" s="1"/>
  <c r="K50" i="6"/>
  <c r="K67" i="6" s="1"/>
  <c r="M50" i="6"/>
  <c r="N50" i="6" s="1"/>
  <c r="N67" i="6" s="1"/>
  <c r="K231" i="6" l="1"/>
  <c r="N231" i="6"/>
  <c r="I231" i="6"/>
  <c r="I292" i="6"/>
  <c r="K292" i="6"/>
  <c r="N201" i="6"/>
  <c r="K76" i="6"/>
  <c r="N295" i="6" l="1"/>
  <c r="N69" i="6"/>
  <c r="N76" i="6" s="1"/>
  <c r="C25" i="5"/>
  <c r="N288" i="6"/>
  <c r="N292" i="6" s="1"/>
  <c r="C31" i="5"/>
  <c r="G31" i="5" s="1"/>
  <c r="H15" i="81" l="1"/>
  <c r="K302" i="6" l="1"/>
  <c r="K191" i="6"/>
  <c r="N89" i="6"/>
  <c r="K214" i="6"/>
  <c r="N146" i="6"/>
  <c r="K226" i="6" l="1"/>
  <c r="K229" i="6" s="1"/>
  <c r="N136" i="6"/>
  <c r="K136" i="6"/>
  <c r="C25" i="81"/>
  <c r="N216" i="6"/>
  <c r="N145" i="6"/>
  <c r="N110" i="6"/>
  <c r="N280" i="6"/>
  <c r="I280" i="6"/>
  <c r="I136" i="6"/>
  <c r="C19" i="81"/>
  <c r="I226" i="6"/>
  <c r="I229" i="6" s="1"/>
  <c r="N226" i="6"/>
  <c r="N229" i="6" s="1"/>
  <c r="E300" i="6"/>
  <c r="K190" i="6"/>
  <c r="C23" i="81"/>
  <c r="N191" i="6"/>
  <c r="I191" i="6"/>
  <c r="B27" i="81"/>
  <c r="B21" i="81"/>
  <c r="I160" i="6"/>
  <c r="N160" i="6"/>
  <c r="C21" i="81"/>
  <c r="N163" i="6"/>
  <c r="I163" i="6"/>
  <c r="I216" i="6"/>
  <c r="N214" i="6"/>
  <c r="K92" i="6"/>
  <c r="K108" i="6" s="1"/>
  <c r="K117" i="6" l="1"/>
  <c r="K192" i="6"/>
  <c r="K193" i="6" s="1"/>
  <c r="K195" i="6" s="1"/>
  <c r="N192" i="6"/>
  <c r="H29" i="81"/>
  <c r="I192" i="6"/>
  <c r="K254" i="6"/>
  <c r="C27" i="81"/>
  <c r="N135" i="6"/>
  <c r="K135" i="6"/>
  <c r="N133" i="6"/>
  <c r="K133" i="6"/>
  <c r="M139" i="6"/>
  <c r="B31" i="81"/>
  <c r="K300" i="6"/>
  <c r="K305" i="6" s="1"/>
  <c r="K307" i="6" s="1"/>
  <c r="K23" i="6"/>
  <c r="M23" i="6"/>
  <c r="N255" i="6"/>
  <c r="K255" i="6"/>
  <c r="N30" i="6"/>
  <c r="N29" i="6"/>
  <c r="N111" i="6"/>
  <c r="N88" i="6"/>
  <c r="I88" i="6"/>
  <c r="C17" i="81"/>
  <c r="N165" i="6"/>
  <c r="E29" i="81"/>
  <c r="B32" i="82" s="1"/>
  <c r="I255" i="6"/>
  <c r="I135" i="6"/>
  <c r="I59" i="6"/>
  <c r="I61" i="6" s="1"/>
  <c r="N294" i="6"/>
  <c r="I133" i="6"/>
  <c r="B19" i="81"/>
  <c r="I254" i="6"/>
  <c r="N300" i="6"/>
  <c r="I300" i="6"/>
  <c r="N190" i="6"/>
  <c r="I190" i="6"/>
  <c r="B23" i="81"/>
  <c r="D23" i="81" s="1"/>
  <c r="M92" i="6"/>
  <c r="N264" i="6"/>
  <c r="C29" i="5"/>
  <c r="D29" i="5"/>
  <c r="N265" i="6"/>
  <c r="D21" i="81"/>
  <c r="I165" i="6"/>
  <c r="N238" i="6"/>
  <c r="D27" i="5"/>
  <c r="N237" i="6"/>
  <c r="C27" i="5"/>
  <c r="D21" i="5"/>
  <c r="C21" i="5"/>
  <c r="D19" i="5"/>
  <c r="C19" i="5"/>
  <c r="D17" i="5"/>
  <c r="C17" i="5"/>
  <c r="D15" i="5"/>
  <c r="C15" i="5"/>
  <c r="I253" i="6"/>
  <c r="N253" i="6"/>
  <c r="I302" i="6"/>
  <c r="N302" i="6"/>
  <c r="I214" i="6"/>
  <c r="I89" i="6"/>
  <c r="I43" i="6"/>
  <c r="N256" i="6" l="1"/>
  <c r="K311" i="6"/>
  <c r="K317" i="6" s="1"/>
  <c r="C32" i="82"/>
  <c r="D32" i="82" s="1"/>
  <c r="K199" i="6"/>
  <c r="K27" i="6"/>
  <c r="K33" i="6" s="1"/>
  <c r="E32" i="82"/>
  <c r="N193" i="6"/>
  <c r="I193" i="6"/>
  <c r="K256" i="6"/>
  <c r="K258" i="6" s="1"/>
  <c r="N137" i="6"/>
  <c r="N139" i="6" s="1"/>
  <c r="N143" i="6" s="1"/>
  <c r="N152" i="6" s="1"/>
  <c r="K137" i="6"/>
  <c r="K139" i="6" s="1"/>
  <c r="K143" i="6" s="1"/>
  <c r="K152" i="6" s="1"/>
  <c r="N90" i="6"/>
  <c r="N92" i="6" s="1"/>
  <c r="N108" i="6" s="1"/>
  <c r="N117" i="6" s="1"/>
  <c r="I137" i="6"/>
  <c r="I139" i="6" s="1"/>
  <c r="I305" i="6"/>
  <c r="I307" i="6" s="1"/>
  <c r="I311" i="6" s="1"/>
  <c r="I317" i="6" s="1"/>
  <c r="N305" i="6"/>
  <c r="N307" i="6" s="1"/>
  <c r="N311" i="6" s="1"/>
  <c r="N317" i="6" s="1"/>
  <c r="I31" i="5"/>
  <c r="H31" i="5"/>
  <c r="G29" i="81"/>
  <c r="I256" i="6"/>
  <c r="D27" i="81"/>
  <c r="E35" i="5"/>
  <c r="E42" i="5" s="1"/>
  <c r="C35" i="5"/>
  <c r="C42" i="5" s="1"/>
  <c r="D35" i="5"/>
  <c r="D42" i="5" s="1"/>
  <c r="K205" i="6" l="1"/>
  <c r="K262" i="6"/>
  <c r="K268" i="6" s="1"/>
  <c r="G31" i="81"/>
  <c r="H19" i="81"/>
  <c r="H17" i="81"/>
  <c r="B33" i="5"/>
  <c r="G33" i="5" s="1"/>
  <c r="M220" i="6"/>
  <c r="N319" i="6" l="1"/>
  <c r="N320" i="6" s="1"/>
  <c r="I33" i="5" s="1"/>
  <c r="H33" i="5" l="1"/>
  <c r="I167" i="6"/>
  <c r="I171" i="6" s="1"/>
  <c r="I180" i="6" s="1"/>
  <c r="E21" i="81" l="1"/>
  <c r="B23" i="5"/>
  <c r="M167" i="6"/>
  <c r="N167" i="6" s="1"/>
  <c r="N171" i="6" l="1"/>
  <c r="G23" i="5"/>
  <c r="F21" i="81"/>
  <c r="N180" i="6" l="1"/>
  <c r="H21" i="81" s="1"/>
  <c r="B24" i="82"/>
  <c r="N182" i="6" l="1"/>
  <c r="O183" i="6" s="1"/>
  <c r="I21" i="81"/>
  <c r="J21" i="81" s="1"/>
  <c r="C24" i="82"/>
  <c r="D24" i="82" s="1"/>
  <c r="E24" i="82" l="1"/>
  <c r="K21" i="81"/>
  <c r="N183" i="6"/>
  <c r="I23" i="5" s="1"/>
  <c r="H23" i="5"/>
  <c r="G21" i="81" s="1"/>
  <c r="M21" i="81"/>
  <c r="B25" i="81" l="1"/>
  <c r="D25" i="81" s="1"/>
  <c r="K215" i="6"/>
  <c r="K218" i="6" s="1"/>
  <c r="K220" i="6" s="1"/>
  <c r="K235" i="6" s="1"/>
  <c r="P192" i="6" s="1"/>
  <c r="N215" i="6"/>
  <c r="I215" i="6"/>
  <c r="I218" i="6" s="1"/>
  <c r="I220" i="6" s="1"/>
  <c r="I235" i="6" s="1"/>
  <c r="I244" i="6" s="1"/>
  <c r="K244" i="6" l="1"/>
  <c r="P244" i="6" s="1"/>
  <c r="N218" i="6"/>
  <c r="N220" i="6" s="1"/>
  <c r="N235" i="6" s="1"/>
  <c r="B33" i="81"/>
  <c r="B36" i="81"/>
  <c r="B27" i="5"/>
  <c r="D15" i="81"/>
  <c r="I46" i="6"/>
  <c r="N244" i="6" l="1"/>
  <c r="G27" i="5"/>
  <c r="E25" i="81"/>
  <c r="I44" i="6"/>
  <c r="I90" i="6"/>
  <c r="I92" i="6" s="1"/>
  <c r="D17" i="81"/>
  <c r="I127" i="6"/>
  <c r="I126" i="6"/>
  <c r="I108" i="6" l="1"/>
  <c r="I117" i="6" s="1"/>
  <c r="N246" i="6"/>
  <c r="H25" i="81"/>
  <c r="B19" i="5"/>
  <c r="I48" i="6"/>
  <c r="I50" i="6" s="1"/>
  <c r="I67" i="6" s="1"/>
  <c r="I76" i="6" s="1"/>
  <c r="D19" i="81"/>
  <c r="I128" i="6"/>
  <c r="H27" i="5" l="1"/>
  <c r="O247" i="6"/>
  <c r="N247" i="6"/>
  <c r="I27" i="5" s="1"/>
  <c r="C28" i="82"/>
  <c r="I25" i="81"/>
  <c r="G19" i="5"/>
  <c r="B17" i="5"/>
  <c r="N119" i="6"/>
  <c r="O120" i="6" s="1"/>
  <c r="E17" i="81"/>
  <c r="G17" i="5" l="1"/>
  <c r="N120" i="6"/>
  <c r="H19" i="5"/>
  <c r="N78" i="6"/>
  <c r="M195" i="6"/>
  <c r="N195" i="6" s="1"/>
  <c r="I195" i="6"/>
  <c r="I199" i="6" s="1"/>
  <c r="I205" i="6" s="1"/>
  <c r="N199" i="6" l="1"/>
  <c r="Q192" i="6" s="1"/>
  <c r="E23" i="81"/>
  <c r="I19" i="5"/>
  <c r="N79" i="6"/>
  <c r="I17" i="5" s="1"/>
  <c r="H17" i="5"/>
  <c r="B25" i="5"/>
  <c r="N205" i="6" l="1"/>
  <c r="G25" i="5"/>
  <c r="I17" i="81"/>
  <c r="C20" i="82"/>
  <c r="F23" i="81"/>
  <c r="B26" i="82"/>
  <c r="H23" i="81" l="1"/>
  <c r="Q244" i="6"/>
  <c r="R244" i="6" s="1"/>
  <c r="N207" i="6"/>
  <c r="G25" i="81"/>
  <c r="H25" i="5" l="1"/>
  <c r="G23" i="81" s="1"/>
  <c r="O208" i="6"/>
  <c r="I23" i="81"/>
  <c r="J23" i="81" s="1"/>
  <c r="C26" i="82"/>
  <c r="D26" i="82" s="1"/>
  <c r="N208" i="6"/>
  <c r="I25" i="5" s="1"/>
  <c r="E26" i="82" l="1"/>
  <c r="M23" i="81"/>
  <c r="K23" i="81"/>
  <c r="I130" i="6"/>
  <c r="I143" i="6" s="1"/>
  <c r="I152" i="6" s="1"/>
  <c r="B21" i="5" l="1"/>
  <c r="G21" i="5" l="1"/>
  <c r="N154" i="6"/>
  <c r="O155" i="6" s="1"/>
  <c r="E19" i="81"/>
  <c r="B22" i="82" s="1"/>
  <c r="N155" i="6" l="1"/>
  <c r="H21" i="5"/>
  <c r="G19" i="81" s="1"/>
  <c r="E15" i="81"/>
  <c r="F15" i="81" s="1"/>
  <c r="F19" i="81"/>
  <c r="I21" i="5" l="1"/>
  <c r="B18" i="82"/>
  <c r="C22" i="82" l="1"/>
  <c r="D22" i="82" s="1"/>
  <c r="I19" i="81"/>
  <c r="J19" i="81" s="1"/>
  <c r="F25" i="81"/>
  <c r="B28" i="82"/>
  <c r="E22" i="82" l="1"/>
  <c r="K19" i="81"/>
  <c r="M19" i="81"/>
  <c r="J25" i="81"/>
  <c r="D28" i="82"/>
  <c r="E28" i="82" l="1"/>
  <c r="K25" i="81"/>
  <c r="M25" i="81"/>
  <c r="B20" i="82"/>
  <c r="F17" i="81"/>
  <c r="J17" i="81" s="1"/>
  <c r="K17" i="81" l="1"/>
  <c r="M17" i="81"/>
  <c r="D20" i="82"/>
  <c r="E20" i="82" l="1"/>
  <c r="G17" i="81"/>
  <c r="I15" i="81" l="1"/>
  <c r="J15" i="81" s="1"/>
  <c r="G15" i="81"/>
  <c r="C18" i="82"/>
  <c r="K15" i="81" l="1"/>
  <c r="M15" i="81"/>
  <c r="D18" i="82"/>
  <c r="E18" i="82" l="1"/>
  <c r="M258" i="6" l="1"/>
  <c r="I258" i="6"/>
  <c r="I262" i="6" s="1"/>
  <c r="I268" i="6" s="1"/>
  <c r="N258" i="6" l="1"/>
  <c r="N262" i="6" s="1"/>
  <c r="N268" i="6" s="1"/>
  <c r="P51" i="6" s="1"/>
  <c r="B29" i="5"/>
  <c r="N270" i="6" l="1"/>
  <c r="O79" i="6" s="1"/>
  <c r="G29" i="5"/>
  <c r="E27" i="81"/>
  <c r="F27" i="81" s="1"/>
  <c r="N271" i="6" l="1"/>
  <c r="P55" i="6"/>
  <c r="H27" i="81"/>
  <c r="B30" i="82"/>
  <c r="C30" i="82" l="1"/>
  <c r="D30" i="82" s="1"/>
  <c r="I27" i="81"/>
  <c r="J27" i="81" s="1"/>
  <c r="H29" i="5"/>
  <c r="G27" i="81"/>
  <c r="I29" i="5"/>
  <c r="E30" i="82" l="1"/>
  <c r="K27" i="81"/>
  <c r="M27" i="81"/>
  <c r="N20" i="6"/>
  <c r="I21" i="6"/>
  <c r="I23" i="6" s="1"/>
  <c r="I27" i="6" s="1"/>
  <c r="I33" i="6" s="1"/>
  <c r="B38" i="81"/>
  <c r="C13" i="81"/>
  <c r="C36" i="81" l="1"/>
  <c r="D13" i="81"/>
  <c r="D33" i="81" s="1"/>
  <c r="N21" i="6"/>
  <c r="N23" i="6" s="1"/>
  <c r="N27" i="6" s="1"/>
  <c r="N33" i="6" s="1"/>
  <c r="C38" i="81"/>
  <c r="C33" i="81"/>
  <c r="B15" i="5"/>
  <c r="G15" i="5" l="1"/>
  <c r="G35" i="5" s="1"/>
  <c r="H13" i="81"/>
  <c r="N35" i="6"/>
  <c r="O36" i="6" s="1"/>
  <c r="B35" i="5"/>
  <c r="E13" i="81"/>
  <c r="F13" i="81" l="1"/>
  <c r="F33" i="81" s="1"/>
  <c r="E36" i="81"/>
  <c r="N36" i="6"/>
  <c r="I15" i="5" s="1"/>
  <c r="B42" i="5"/>
  <c r="H33" i="81"/>
  <c r="E33" i="81"/>
  <c r="H15" i="5"/>
  <c r="I13" i="81"/>
  <c r="I33" i="81" s="1"/>
  <c r="B16" i="82"/>
  <c r="G42" i="5"/>
  <c r="E38" i="81" l="1"/>
  <c r="C16" i="82"/>
  <c r="D16" i="82" s="1"/>
  <c r="G13" i="81"/>
  <c r="G33" i="81" s="1"/>
  <c r="J13" i="81"/>
  <c r="J33" i="81" l="1"/>
  <c r="K33" i="81" s="1"/>
  <c r="D34" i="82"/>
  <c r="B36" i="82"/>
  <c r="C36" i="82"/>
  <c r="K13" i="81"/>
  <c r="M13" i="81"/>
  <c r="H35" i="5"/>
  <c r="E16" i="82"/>
  <c r="E34" i="82" l="1"/>
  <c r="M33" i="81"/>
  <c r="D36" i="82"/>
  <c r="B44" i="82"/>
  <c r="I35" i="5"/>
  <c r="D44" i="82" l="1"/>
  <c r="C49" i="82"/>
  <c r="E36" i="82"/>
  <c r="E40" i="82" l="1"/>
  <c r="I38" i="5" s="1"/>
  <c r="C41" i="82" l="1"/>
  <c r="E41" i="82"/>
  <c r="I39" i="5" s="1"/>
  <c r="H39" i="5"/>
  <c r="I47" i="82" l="1"/>
  <c r="I48" i="82"/>
  <c r="P52" i="6" s="1"/>
  <c r="I49" i="82"/>
  <c r="H42" i="5"/>
  <c r="I42" i="5" s="1"/>
  <c r="H37" i="5"/>
  <c r="C47" i="82"/>
  <c r="C48" i="82" s="1"/>
  <c r="E39" i="82"/>
  <c r="I37" i="5" s="1"/>
  <c r="E44" i="82"/>
  <c r="C39" i="82"/>
  <c r="C44" i="82"/>
</calcChain>
</file>

<file path=xl/sharedStrings.xml><?xml version="1.0" encoding="utf-8"?>
<sst xmlns="http://schemas.openxmlformats.org/spreadsheetml/2006/main" count="404" uniqueCount="204">
  <si>
    <t>Distribution Charge</t>
  </si>
  <si>
    <t>FT</t>
  </si>
  <si>
    <t>CGS</t>
  </si>
  <si>
    <t>IGS</t>
  </si>
  <si>
    <t>RGS</t>
  </si>
  <si>
    <t>MCF</t>
  </si>
  <si>
    <t>Revenue</t>
  </si>
  <si>
    <t>Rate Class</t>
  </si>
  <si>
    <t>GSC</t>
  </si>
  <si>
    <t>DSM</t>
  </si>
  <si>
    <t>Total</t>
  </si>
  <si>
    <t>LOUISVILLE GAS AND ELECTRIC COMPANY</t>
  </si>
  <si>
    <t>TOTAL</t>
  </si>
  <si>
    <t>Demand Charge</t>
  </si>
  <si>
    <t>As Available Gas Service (AAGS)</t>
  </si>
  <si>
    <t>RATE CGS:</t>
  </si>
  <si>
    <t>Administrative Charges</t>
  </si>
  <si>
    <t>RATE IGS:</t>
  </si>
  <si>
    <t>RATE FT:</t>
  </si>
  <si>
    <t>AAGS</t>
  </si>
  <si>
    <t>INTRA-COMPANY SPECIAL CONTRACTS</t>
  </si>
  <si>
    <t>Base Rate</t>
  </si>
  <si>
    <t>Administrative Charge</t>
  </si>
  <si>
    <t>Increase</t>
  </si>
  <si>
    <t>Special Contract - Intra-Company Sales</t>
  </si>
  <si>
    <t>Total Sales to Ultimate Consumers and Inter-Company</t>
  </si>
  <si>
    <t>Current</t>
  </si>
  <si>
    <t>Change</t>
  </si>
  <si>
    <t>Other Gas Revenue</t>
  </si>
  <si>
    <t>Miscellaneous Service Revenue</t>
  </si>
  <si>
    <t>Subtotal Sales to Ultimate Consumers and Inter-Company</t>
  </si>
  <si>
    <t>Gas Line Tracker</t>
  </si>
  <si>
    <t>TYPE OF FILING: __X__ ORIGINAL  _____ UPDATED  _____ REVISED</t>
  </si>
  <si>
    <t>WORK PAPER REFERENCE NO(S):</t>
  </si>
  <si>
    <t>Gas Supply Clause</t>
  </si>
  <si>
    <t>Demand-Side Management</t>
  </si>
  <si>
    <t>Intra-Company Special Contract - Sales Customer</t>
  </si>
  <si>
    <t xml:space="preserve">GLT </t>
  </si>
  <si>
    <t>SCHEDULE M</t>
  </si>
  <si>
    <t>BASE PERIOD:</t>
  </si>
  <si>
    <t>FORECASTED PERIOD:</t>
  </si>
  <si>
    <t>SCHEDULE</t>
  </si>
  <si>
    <t>DESCRIPTION</t>
  </si>
  <si>
    <t>Page 1</t>
  </si>
  <si>
    <t>Commercial Gas Service (CGS)</t>
  </si>
  <si>
    <t>Industrial Gas Service (IGS)</t>
  </si>
  <si>
    <t>Special Contract Intra-Company Sales</t>
  </si>
  <si>
    <t>Firm Transportation (FT)</t>
  </si>
  <si>
    <t>Distributed Generation Gas Service (DGGS)</t>
  </si>
  <si>
    <t>Customer Months</t>
  </si>
  <si>
    <t>Annual Revenue at Current Rates</t>
  </si>
  <si>
    <t>Average Current Bill</t>
  </si>
  <si>
    <t>DGGS</t>
  </si>
  <si>
    <t>AAGS TS-2</t>
  </si>
  <si>
    <t>AAGS TS-2-PM</t>
  </si>
  <si>
    <t>BILLING DETERMINANTS AND EXHIBITS FOR THE FORECASTED PERIOD</t>
  </si>
  <si>
    <t>M-2.1-G</t>
  </si>
  <si>
    <t>M-2.2-G</t>
  </si>
  <si>
    <t>M-2.3-G</t>
  </si>
  <si>
    <t>DATA:  ____ BASE PERIOD  __X__  FORECAST PERIOD</t>
  </si>
  <si>
    <t>RATE DGGS</t>
  </si>
  <si>
    <t>Pool Manager Fee</t>
  </si>
  <si>
    <t>Witness:  W. S. SEELYE</t>
  </si>
  <si>
    <t>Revenue Increase</t>
  </si>
  <si>
    <t>Change in Average Bill</t>
  </si>
  <si>
    <t>Percentage Change in Average Bill</t>
  </si>
  <si>
    <t>Change in Total Revenue</t>
  </si>
  <si>
    <t>Percent Change in Total Revenue</t>
  </si>
  <si>
    <t>Forecasted Mcf</t>
  </si>
  <si>
    <t>Percentage</t>
  </si>
  <si>
    <t>Rider PS-FT</t>
  </si>
  <si>
    <t xml:space="preserve">Rider PS-TS-2 </t>
  </si>
  <si>
    <t>SUBTOTAL</t>
  </si>
  <si>
    <t>Other Operating Revenues:</t>
  </si>
  <si>
    <t>Rent from Gas Property</t>
  </si>
  <si>
    <t>IGS TS-2</t>
  </si>
  <si>
    <t>MC</t>
  </si>
  <si>
    <t>CGS TS-2</t>
  </si>
  <si>
    <t>Gas Operations</t>
  </si>
  <si>
    <t>RATE LGDS</t>
  </si>
  <si>
    <t>LGDS</t>
  </si>
  <si>
    <t xml:space="preserve">CGS TS-2-PM </t>
  </si>
  <si>
    <t>FT-PM</t>
  </si>
  <si>
    <t>IGS TS-2-PM</t>
  </si>
  <si>
    <t>SGSS-C</t>
  </si>
  <si>
    <t>SGSS-I</t>
  </si>
  <si>
    <t>Off-Peak MCF</t>
  </si>
  <si>
    <t>Distribution Cost Component</t>
  </si>
  <si>
    <t>Correction Factor=</t>
  </si>
  <si>
    <t xml:space="preserve">   On Peak Mcf</t>
  </si>
  <si>
    <t xml:space="preserve">   Off Peak Mcf</t>
  </si>
  <si>
    <t>Correction Factor =</t>
  </si>
  <si>
    <t>DGGS TS-2</t>
  </si>
  <si>
    <t>FT-C</t>
  </si>
  <si>
    <t>Customer Months for the 12-Month Period</t>
  </si>
  <si>
    <t>DGGS TS-2-PM</t>
  </si>
  <si>
    <r>
      <t>RATE AAGS:</t>
    </r>
    <r>
      <rPr>
        <sz val="12"/>
        <rFont val="Calibri"/>
        <family val="2"/>
        <scheme val="minor"/>
      </rPr>
      <t xml:space="preserve">  </t>
    </r>
  </si>
  <si>
    <t>Residential Gas Service (RGS) and Volunteer Fire Department (VFD)</t>
  </si>
  <si>
    <t>RATE SGSS-C</t>
  </si>
  <si>
    <t>RATE SGSS-I</t>
  </si>
  <si>
    <t xml:space="preserve"> Substitute Gas Sales Service (SGSS) - Commercial</t>
  </si>
  <si>
    <t xml:space="preserve"> Substitute Gas Sales Service (SGSS) - Industrial</t>
  </si>
  <si>
    <t>Substitute Gas Sales Service-Commercial (SGSS)</t>
  </si>
  <si>
    <t>Substitute Gas Sales Service-Industrial (SGSS)</t>
  </si>
  <si>
    <t>Local Gas Delivery Service (LGDS)</t>
  </si>
  <si>
    <t>Customer Months/Days</t>
  </si>
  <si>
    <t>Monthly Basic Service Charge</t>
  </si>
  <si>
    <t>Daily Basic Service Charge</t>
  </si>
  <si>
    <t>Monthly Basic Service Charge (meters &lt; 5000 cfh)</t>
  </si>
  <si>
    <t>Monthly Basic Service Charge (meters 5000 cfh or &gt;)</t>
  </si>
  <si>
    <t>Daily Basic Service Charge (meters &lt; 5000 cfh)</t>
  </si>
  <si>
    <t>Daily Basic Service Charge (meters 5000 cfh or &gt;)</t>
  </si>
  <si>
    <t>RATE RGS and VFD:</t>
  </si>
  <si>
    <t>Residential Gas Service Rate (RGS) and Volunteer Fire Dept (VFD)</t>
  </si>
  <si>
    <t>Firm Commercial Gas Service Rate (CGS)</t>
  </si>
  <si>
    <t>Gas Transporation Service Rider TS-2 to Rate (CGS)</t>
  </si>
  <si>
    <t>Firm Industrial Gas Service Rate (IGS)</t>
  </si>
  <si>
    <t>Gas Transportation Service Rider TS-2 to Rate (IGS)</t>
  </si>
  <si>
    <t>As Available Gas Service Rate (AAGS)</t>
  </si>
  <si>
    <t xml:space="preserve">Gas Transporation Service Rider TS-2 to Rate (AAGS) </t>
  </si>
  <si>
    <t>Firm Transportation Service (Non-Standby) Rate (FT)</t>
  </si>
  <si>
    <t>Distributed Generation Gas Service Rate (DGGS)</t>
  </si>
  <si>
    <t>Gas Transporation Service Rider TS-2 to Rate (DGGS)</t>
  </si>
  <si>
    <t>Substitute Gas Sales Service - Commercial - Rate (SGSS)</t>
  </si>
  <si>
    <t>Substitute Gas Sales Service - Industrial - Rate (SGSS)</t>
  </si>
  <si>
    <t>Local Gas Delivery Service - Rate (LGDS)</t>
  </si>
  <si>
    <t>Residential Gas Service  and Volunteer Fire Dept - Rate (RGS) and (VFD)</t>
  </si>
  <si>
    <t>Commercial Gas Service - Rate (CGS)</t>
  </si>
  <si>
    <t>Industrial Gas Service - Rate (IGS)</t>
  </si>
  <si>
    <t>As-Available Gas Service - Rate (AAGS)</t>
  </si>
  <si>
    <t>Firm Transportation Service (Non-Standby) - Rate (FT)</t>
  </si>
  <si>
    <t>Distributed Generation Gas Service - Rate (DGGS)</t>
  </si>
  <si>
    <t>Late Payment Charges</t>
  </si>
  <si>
    <t>forecast</t>
  </si>
  <si>
    <t>total</t>
  </si>
  <si>
    <t>Variance</t>
  </si>
  <si>
    <t>Proposed Increase</t>
  </si>
  <si>
    <t>Excl Misc Rev</t>
  </si>
  <si>
    <t xml:space="preserve"> Page 1 of 1 </t>
  </si>
  <si>
    <t xml:space="preserve"> Page 1 of 11</t>
  </si>
  <si>
    <t xml:space="preserve"> Page 2 of 11</t>
  </si>
  <si>
    <t>Misc Revenue Adjs. Summary</t>
  </si>
  <si>
    <t>Excess Facilities</t>
  </si>
  <si>
    <t>Meter Pulse Charge</t>
  </si>
  <si>
    <t>Returned Check Fee</t>
  </si>
  <si>
    <t>Late Payment Charge</t>
  </si>
  <si>
    <t>Pages 2-11</t>
  </si>
  <si>
    <t>Daily impact in bill</t>
  </si>
  <si>
    <t>For the 12 Months Ended February 28, 2021</t>
  </si>
  <si>
    <t>For the 12 Months Ended June 30, 2022</t>
  </si>
  <si>
    <t>Totals</t>
  </si>
  <si>
    <t>Average Consumption Per Customer-Mcf</t>
  </si>
  <si>
    <t xml:space="preserve">         Total Revenues</t>
  </si>
  <si>
    <t>Total Calculated at Base Rates</t>
  </si>
  <si>
    <t>Total After Application of Correction Factor</t>
  </si>
  <si>
    <t>Reflecting Elimination of GLT Project</t>
  </si>
  <si>
    <t>Rates Reflecting GLT Project Elimination</t>
  </si>
  <si>
    <t>Calculated Revenue After GLT Project Elmination</t>
  </si>
  <si>
    <t>Adjustment to Reflect GLT Project Elimination</t>
  </si>
  <si>
    <t xml:space="preserve">GLT Mechanism </t>
  </si>
  <si>
    <t>GLT Project Elimination</t>
  </si>
  <si>
    <t xml:space="preserve">Adjustment to Reflect </t>
  </si>
  <si>
    <t>CASE NO. 2020-00350</t>
  </si>
  <si>
    <t>Total Base Revenues</t>
  </si>
  <si>
    <t>per COSS</t>
  </si>
  <si>
    <t>SpecContr+DGGS</t>
  </si>
  <si>
    <t>SpecContr+DGGS+IGS</t>
  </si>
  <si>
    <t>FT/LGDS</t>
  </si>
  <si>
    <t>compare to IGS off-peak</t>
  </si>
  <si>
    <t>proposed</t>
  </si>
  <si>
    <t>current CGS cust charge</t>
  </si>
  <si>
    <t>proposed CGS cust charge</t>
  </si>
  <si>
    <t>increase per COSS for CGS</t>
  </si>
  <si>
    <t>Total CGS/SGSS-C</t>
  </si>
  <si>
    <t>Total LGE-G proposed increase</t>
  </si>
  <si>
    <t>Base Rev Increase</t>
  </si>
  <si>
    <t>Difference from above</t>
  </si>
  <si>
    <t xml:space="preserve">                                                               </t>
  </si>
  <si>
    <t>compare to CGS off-peak</t>
  </si>
  <si>
    <t>UAR</t>
  </si>
  <si>
    <t>Disconnect/Reconnect Charge</t>
  </si>
  <si>
    <t>per COSS - monthly equiv</t>
  </si>
  <si>
    <t>dist charge per COSS</t>
  </si>
  <si>
    <t>Total calculated increase</t>
  </si>
  <si>
    <t>Unit Charges</t>
  </si>
  <si>
    <t>Calculated Revenue</t>
  </si>
  <si>
    <t>Total Revenue at Current Rates</t>
  </si>
  <si>
    <t>Calculated Revenue @ Current Rates</t>
  </si>
  <si>
    <t>Current Rates</t>
  </si>
  <si>
    <t xml:space="preserve"> </t>
  </si>
  <si>
    <t>AS FILED</t>
  </si>
  <si>
    <t>Forecast Period Revenues at Current and Stipulated Gas Rates</t>
  </si>
  <si>
    <t>Average Bill Comparison at Current and Stipulated Gas Rates</t>
  </si>
  <si>
    <t>Summary of Stipulated Gas Revenue Increase</t>
  </si>
  <si>
    <t>Calculation of Stipulated Gas Rate Increase</t>
  </si>
  <si>
    <t>Total Revenue at Stipulated Rates</t>
  </si>
  <si>
    <t>Annual Revenue at Stipulated Rates</t>
  </si>
  <si>
    <t>Stipulated Rates</t>
  </si>
  <si>
    <t>Stipulated Increase in Revenue</t>
  </si>
  <si>
    <t>Target</t>
  </si>
  <si>
    <t>Target for CGS/SGSS-C</t>
  </si>
  <si>
    <t>Stipulated Change in Revenue</t>
  </si>
  <si>
    <t>Average Stipulated Bill</t>
  </si>
  <si>
    <t>Stipulated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</si>
</sst>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_);_(&quot;$&quot;* \(#,##0.00000\);_(&quot;$&quot;* &quot;-&quot;??_);_(@_)"/>
    <numFmt numFmtId="168" formatCode="[$-409]mmmm\-yy;@"/>
    <numFmt numFmtId="169" formatCode="_(* #,##0.0_);_(* \(#,##0.0\);_(* &quot;-&quot;??_);_(@_)"/>
    <numFmt numFmtId="170" formatCode="General_)"/>
    <numFmt numFmtId="171" formatCode="#,##0.0_);\(#,##0.0\)"/>
    <numFmt numFmtId="172" formatCode="_(&quot;$&quot;* #,##0.0000_);_(&quot;$&quot;* \(#,##0.0000\);_(&quot;$&quot;* &quot;-&quot;??_);_(@_)"/>
    <numFmt numFmtId="173" formatCode="&quot;$&quot;#,##0\ ;\(&quot;$&quot;#,##0\)"/>
    <numFmt numFmtId="174" formatCode="_([$€-2]* #,##0.00_);_([$€-2]* \(#,##0.00\);_([$€-2]* &quot;-&quot;??_)"/>
    <numFmt numFmtId="175" formatCode="0_);\(0\)"/>
    <numFmt numFmtId="176" formatCode="_(&quot;$&quot;* #,##0.000_);_(&quot;$&quot;* \(#,##0.000\);_(&quot;$&quot;* &quot;-&quot;?????_);_(@_)"/>
    <numFmt numFmtId="177" formatCode="0.000000"/>
    <numFmt numFmtId="178" formatCode="0.0000"/>
    <numFmt numFmtId="179" formatCode="_(&quot;$&quot;* #,##0.0_);_(&quot;$&quot;* \(#,##0.0\);_(&quot;$&quot;* &quot;-&quot;??_);_(@_)"/>
    <numFmt numFmtId="180" formatCode="_(&quot;$&quot;* #,##0.000000_);_(&quot;$&quot;* \(#,##0.000000\);_(&quot;$&quot;* &quot;-&quot;??_);_(@_)"/>
    <numFmt numFmtId="181" formatCode="_(&quot;$&quot;* #,##0.00_);_(&quot;$&quot;* \(#,##0.00\);_(&quot;$&quot;* &quot;-&quot;_);_(@_)"/>
    <numFmt numFmtId="182" formatCode="_(&quot;$&quot;* #,##0.0000_);_(&quot;$&quot;* \(#,##0.0000\);_(&quot;$&quot;* &quot;-&quot;_);_(@_)"/>
    <numFmt numFmtId="183" formatCode="_(&quot;$&quot;* #,##0.00_);_(&quot;$&quot;* \(#,##0.00\);_(&quot;$&quot;* &quot;-&quot;?????_);_(@_)"/>
    <numFmt numFmtId="184" formatCode="_(&quot;$&quot;* #,##0.0000_);_(&quot;$&quot;* \(#,##0.0000\);_(&quot;$&quot;* &quot;-&quot;?????_);_(@_)"/>
    <numFmt numFmtId="185" formatCode="_(&quot;$&quot;* #,##0_);_(&quot;$&quot;* \(#,##0\);_(&quot;$&quot;* &quot;-&quot;?????_);_(@_)"/>
  </numFmts>
  <fonts count="7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Times New Roman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 val="doubleAccounting"/>
      <sz val="12"/>
      <color theme="1"/>
      <name val="Calibri"/>
      <family val="2"/>
      <scheme val="minor"/>
    </font>
    <font>
      <u val="singleAccounting"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sz val="12"/>
      <color rgb="FF0033CC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9" fillId="0" borderId="0"/>
    <xf numFmtId="0" fontId="3" fillId="0" borderId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6" fontId="15" fillId="11" borderId="0" applyNumberFormat="0" applyBorder="0" applyAlignment="0" applyProtection="0"/>
    <xf numFmtId="166" fontId="15" fillId="11" borderId="0" applyNumberFormat="0" applyBorder="0" applyAlignment="0" applyProtection="0"/>
    <xf numFmtId="168" fontId="14" fillId="34" borderId="0" applyNumberFormat="0" applyBorder="0" applyAlignment="0" applyProtection="0"/>
    <xf numFmtId="168" fontId="14" fillId="34" borderId="0" applyNumberFormat="0" applyBorder="0" applyAlignment="0" applyProtection="0"/>
    <xf numFmtId="168" fontId="14" fillId="34" borderId="0" applyNumberFormat="0" applyBorder="0" applyAlignment="0" applyProtection="0"/>
    <xf numFmtId="168" fontId="14" fillId="34" borderId="0" applyNumberFormat="0" applyBorder="0" applyAlignment="0" applyProtection="0"/>
    <xf numFmtId="168" fontId="14" fillId="34" borderId="0" applyNumberFormat="0" applyBorder="0" applyAlignment="0" applyProtection="0"/>
    <xf numFmtId="168" fontId="14" fillId="34" borderId="0" applyNumberFormat="0" applyBorder="0" applyAlignment="0" applyProtection="0"/>
    <xf numFmtId="168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6" fontId="15" fillId="15" borderId="0" applyNumberFormat="0" applyBorder="0" applyAlignment="0" applyProtection="0"/>
    <xf numFmtId="166" fontId="15" fillId="15" borderId="0" applyNumberFormat="0" applyBorder="0" applyAlignment="0" applyProtection="0"/>
    <xf numFmtId="168" fontId="14" fillId="35" borderId="0" applyNumberFormat="0" applyBorder="0" applyAlignment="0" applyProtection="0"/>
    <xf numFmtId="168" fontId="14" fillId="35" borderId="0" applyNumberFormat="0" applyBorder="0" applyAlignment="0" applyProtection="0"/>
    <xf numFmtId="168" fontId="14" fillId="35" borderId="0" applyNumberFormat="0" applyBorder="0" applyAlignment="0" applyProtection="0"/>
    <xf numFmtId="168" fontId="14" fillId="35" borderId="0" applyNumberFormat="0" applyBorder="0" applyAlignment="0" applyProtection="0"/>
    <xf numFmtId="168" fontId="14" fillId="35" borderId="0" applyNumberFormat="0" applyBorder="0" applyAlignment="0" applyProtection="0"/>
    <xf numFmtId="168" fontId="14" fillId="35" borderId="0" applyNumberFormat="0" applyBorder="0" applyAlignment="0" applyProtection="0"/>
    <xf numFmtId="168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166" fontId="15" fillId="19" borderId="0" applyNumberFormat="0" applyBorder="0" applyAlignment="0" applyProtection="0"/>
    <xf numFmtId="166" fontId="15" fillId="19" borderId="0" applyNumberFormat="0" applyBorder="0" applyAlignment="0" applyProtection="0"/>
    <xf numFmtId="168" fontId="14" fillId="36" borderId="0" applyNumberFormat="0" applyBorder="0" applyAlignment="0" applyProtection="0"/>
    <xf numFmtId="168" fontId="14" fillId="36" borderId="0" applyNumberFormat="0" applyBorder="0" applyAlignment="0" applyProtection="0"/>
    <xf numFmtId="168" fontId="14" fillId="36" borderId="0" applyNumberFormat="0" applyBorder="0" applyAlignment="0" applyProtection="0"/>
    <xf numFmtId="168" fontId="14" fillId="36" borderId="0" applyNumberFormat="0" applyBorder="0" applyAlignment="0" applyProtection="0"/>
    <xf numFmtId="168" fontId="14" fillId="36" borderId="0" applyNumberFormat="0" applyBorder="0" applyAlignment="0" applyProtection="0"/>
    <xf numFmtId="168" fontId="14" fillId="36" borderId="0" applyNumberFormat="0" applyBorder="0" applyAlignment="0" applyProtection="0"/>
    <xf numFmtId="168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166" fontId="15" fillId="23" borderId="0" applyNumberFormat="0" applyBorder="0" applyAlignment="0" applyProtection="0"/>
    <xf numFmtId="166" fontId="15" fillId="23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166" fontId="15" fillId="27" borderId="0" applyNumberFormat="0" applyBorder="0" applyAlignment="0" applyProtection="0"/>
    <xf numFmtId="166" fontId="15" fillId="27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166" fontId="15" fillId="31" borderId="0" applyNumberFormat="0" applyBorder="0" applyAlignment="0" applyProtection="0"/>
    <xf numFmtId="166" fontId="15" fillId="31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166" fontId="15" fillId="16" borderId="0" applyNumberFormat="0" applyBorder="0" applyAlignment="0" applyProtection="0"/>
    <xf numFmtId="166" fontId="15" fillId="16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166" fontId="15" fillId="20" borderId="0" applyNumberFormat="0" applyBorder="0" applyAlignment="0" applyProtection="0"/>
    <xf numFmtId="166" fontId="15" fillId="20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166" fontId="15" fillId="24" borderId="0" applyNumberFormat="0" applyBorder="0" applyAlignment="0" applyProtection="0"/>
    <xf numFmtId="166" fontId="15" fillId="24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166" fontId="15" fillId="28" borderId="0" applyNumberFormat="0" applyBorder="0" applyAlignment="0" applyProtection="0"/>
    <xf numFmtId="166" fontId="15" fillId="28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166" fontId="15" fillId="32" borderId="0" applyNumberFormat="0" applyBorder="0" applyAlignment="0" applyProtection="0"/>
    <xf numFmtId="166" fontId="15" fillId="32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166" fontId="17" fillId="13" borderId="0" applyNumberFormat="0" applyBorder="0" applyAlignment="0" applyProtection="0"/>
    <xf numFmtId="166" fontId="17" fillId="13" borderId="0" applyNumberFormat="0" applyBorder="0" applyAlignment="0" applyProtection="0"/>
    <xf numFmtId="168" fontId="16" fillId="44" borderId="0" applyNumberFormat="0" applyBorder="0" applyAlignment="0" applyProtection="0"/>
    <xf numFmtId="168" fontId="16" fillId="44" borderId="0" applyNumberFormat="0" applyBorder="0" applyAlignment="0" applyProtection="0"/>
    <xf numFmtId="168" fontId="16" fillId="44" borderId="0" applyNumberFormat="0" applyBorder="0" applyAlignment="0" applyProtection="0"/>
    <xf numFmtId="168" fontId="16" fillId="44" borderId="0" applyNumberFormat="0" applyBorder="0" applyAlignment="0" applyProtection="0"/>
    <xf numFmtId="168" fontId="16" fillId="44" borderId="0" applyNumberFormat="0" applyBorder="0" applyAlignment="0" applyProtection="0"/>
    <xf numFmtId="168" fontId="16" fillId="44" borderId="0" applyNumberFormat="0" applyBorder="0" applyAlignment="0" applyProtection="0"/>
    <xf numFmtId="168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8" fontId="16" fillId="41" borderId="0" applyNumberFormat="0" applyBorder="0" applyAlignment="0" applyProtection="0"/>
    <xf numFmtId="168" fontId="16" fillId="41" borderId="0" applyNumberFormat="0" applyBorder="0" applyAlignment="0" applyProtection="0"/>
    <xf numFmtId="168" fontId="16" fillId="41" borderId="0" applyNumberFormat="0" applyBorder="0" applyAlignment="0" applyProtection="0"/>
    <xf numFmtId="168" fontId="16" fillId="41" borderId="0" applyNumberFormat="0" applyBorder="0" applyAlignment="0" applyProtection="0"/>
    <xf numFmtId="168" fontId="16" fillId="41" borderId="0" applyNumberFormat="0" applyBorder="0" applyAlignment="0" applyProtection="0"/>
    <xf numFmtId="168" fontId="16" fillId="41" borderId="0" applyNumberFormat="0" applyBorder="0" applyAlignment="0" applyProtection="0"/>
    <xf numFmtId="168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166" fontId="17" fillId="21" borderId="0" applyNumberFormat="0" applyBorder="0" applyAlignment="0" applyProtection="0"/>
    <xf numFmtId="166" fontId="17" fillId="21" borderId="0" applyNumberFormat="0" applyBorder="0" applyAlignment="0" applyProtection="0"/>
    <xf numFmtId="168" fontId="16" fillId="42" borderId="0" applyNumberFormat="0" applyBorder="0" applyAlignment="0" applyProtection="0"/>
    <xf numFmtId="168" fontId="16" fillId="42" borderId="0" applyNumberFormat="0" applyBorder="0" applyAlignment="0" applyProtection="0"/>
    <xf numFmtId="168" fontId="16" fillId="42" borderId="0" applyNumberFormat="0" applyBorder="0" applyAlignment="0" applyProtection="0"/>
    <xf numFmtId="168" fontId="16" fillId="42" borderId="0" applyNumberFormat="0" applyBorder="0" applyAlignment="0" applyProtection="0"/>
    <xf numFmtId="168" fontId="16" fillId="42" borderId="0" applyNumberFormat="0" applyBorder="0" applyAlignment="0" applyProtection="0"/>
    <xf numFmtId="168" fontId="16" fillId="42" borderId="0" applyNumberFormat="0" applyBorder="0" applyAlignment="0" applyProtection="0"/>
    <xf numFmtId="168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166" fontId="17" fillId="33" borderId="0" applyNumberFormat="0" applyBorder="0" applyAlignment="0" applyProtection="0"/>
    <xf numFmtId="166" fontId="17" fillId="33" borderId="0" applyNumberFormat="0" applyBorder="0" applyAlignment="0" applyProtection="0"/>
    <xf numFmtId="168" fontId="16" fillId="47" borderId="0" applyNumberFormat="0" applyBorder="0" applyAlignment="0" applyProtection="0"/>
    <xf numFmtId="168" fontId="16" fillId="47" borderId="0" applyNumberFormat="0" applyBorder="0" applyAlignment="0" applyProtection="0"/>
    <xf numFmtId="168" fontId="16" fillId="47" borderId="0" applyNumberFormat="0" applyBorder="0" applyAlignment="0" applyProtection="0"/>
    <xf numFmtId="168" fontId="16" fillId="47" borderId="0" applyNumberFormat="0" applyBorder="0" applyAlignment="0" applyProtection="0"/>
    <xf numFmtId="168" fontId="16" fillId="47" borderId="0" applyNumberFormat="0" applyBorder="0" applyAlignment="0" applyProtection="0"/>
    <xf numFmtId="168" fontId="16" fillId="47" borderId="0" applyNumberFormat="0" applyBorder="0" applyAlignment="0" applyProtection="0"/>
    <xf numFmtId="168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166" fontId="17" fillId="10" borderId="0" applyNumberFormat="0" applyBorder="0" applyAlignment="0" applyProtection="0"/>
    <xf numFmtId="166" fontId="17" fillId="10" borderId="0" applyNumberFormat="0" applyBorder="0" applyAlignment="0" applyProtection="0"/>
    <xf numFmtId="168" fontId="16" fillId="48" borderId="0" applyNumberFormat="0" applyBorder="0" applyAlignment="0" applyProtection="0"/>
    <xf numFmtId="168" fontId="16" fillId="48" borderId="0" applyNumberFormat="0" applyBorder="0" applyAlignment="0" applyProtection="0"/>
    <xf numFmtId="168" fontId="16" fillId="48" borderId="0" applyNumberFormat="0" applyBorder="0" applyAlignment="0" applyProtection="0"/>
    <xf numFmtId="168" fontId="16" fillId="48" borderId="0" applyNumberFormat="0" applyBorder="0" applyAlignment="0" applyProtection="0"/>
    <xf numFmtId="168" fontId="16" fillId="48" borderId="0" applyNumberFormat="0" applyBorder="0" applyAlignment="0" applyProtection="0"/>
    <xf numFmtId="168" fontId="16" fillId="48" borderId="0" applyNumberFormat="0" applyBorder="0" applyAlignment="0" applyProtection="0"/>
    <xf numFmtId="168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166" fontId="17" fillId="14" borderId="0" applyNumberFormat="0" applyBorder="0" applyAlignment="0" applyProtection="0"/>
    <xf numFmtId="166" fontId="17" fillId="14" borderId="0" applyNumberFormat="0" applyBorder="0" applyAlignment="0" applyProtection="0"/>
    <xf numFmtId="168" fontId="16" fillId="49" borderId="0" applyNumberFormat="0" applyBorder="0" applyAlignment="0" applyProtection="0"/>
    <xf numFmtId="168" fontId="16" fillId="49" borderId="0" applyNumberFormat="0" applyBorder="0" applyAlignment="0" applyProtection="0"/>
    <xf numFmtId="168" fontId="16" fillId="49" borderId="0" applyNumberFormat="0" applyBorder="0" applyAlignment="0" applyProtection="0"/>
    <xf numFmtId="168" fontId="16" fillId="49" borderId="0" applyNumberFormat="0" applyBorder="0" applyAlignment="0" applyProtection="0"/>
    <xf numFmtId="168" fontId="16" fillId="49" borderId="0" applyNumberFormat="0" applyBorder="0" applyAlignment="0" applyProtection="0"/>
    <xf numFmtId="168" fontId="16" fillId="49" borderId="0" applyNumberFormat="0" applyBorder="0" applyAlignment="0" applyProtection="0"/>
    <xf numFmtId="168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166" fontId="17" fillId="18" borderId="0" applyNumberFormat="0" applyBorder="0" applyAlignment="0" applyProtection="0"/>
    <xf numFmtId="166" fontId="17" fillId="18" borderId="0" applyNumberFormat="0" applyBorder="0" applyAlignment="0" applyProtection="0"/>
    <xf numFmtId="168" fontId="16" fillId="50" borderId="0" applyNumberFormat="0" applyBorder="0" applyAlignment="0" applyProtection="0"/>
    <xf numFmtId="168" fontId="16" fillId="50" borderId="0" applyNumberFormat="0" applyBorder="0" applyAlignment="0" applyProtection="0"/>
    <xf numFmtId="168" fontId="16" fillId="50" borderId="0" applyNumberFormat="0" applyBorder="0" applyAlignment="0" applyProtection="0"/>
    <xf numFmtId="168" fontId="16" fillId="50" borderId="0" applyNumberFormat="0" applyBorder="0" applyAlignment="0" applyProtection="0"/>
    <xf numFmtId="168" fontId="16" fillId="50" borderId="0" applyNumberFormat="0" applyBorder="0" applyAlignment="0" applyProtection="0"/>
    <xf numFmtId="168" fontId="16" fillId="50" borderId="0" applyNumberFormat="0" applyBorder="0" applyAlignment="0" applyProtection="0"/>
    <xf numFmtId="168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166" fontId="17" fillId="22" borderId="0" applyNumberFormat="0" applyBorder="0" applyAlignment="0" applyProtection="0"/>
    <xf numFmtId="166" fontId="17" fillId="22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168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166" fontId="17" fillId="26" borderId="0" applyNumberFormat="0" applyBorder="0" applyAlignment="0" applyProtection="0"/>
    <xf numFmtId="166" fontId="17" fillId="2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168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168" fontId="16" fillId="51" borderId="0" applyNumberFormat="0" applyBorder="0" applyAlignment="0" applyProtection="0"/>
    <xf numFmtId="168" fontId="16" fillId="51" borderId="0" applyNumberFormat="0" applyBorder="0" applyAlignment="0" applyProtection="0"/>
    <xf numFmtId="168" fontId="16" fillId="51" borderId="0" applyNumberFormat="0" applyBorder="0" applyAlignment="0" applyProtection="0"/>
    <xf numFmtId="168" fontId="16" fillId="51" borderId="0" applyNumberFormat="0" applyBorder="0" applyAlignment="0" applyProtection="0"/>
    <xf numFmtId="168" fontId="16" fillId="51" borderId="0" applyNumberFormat="0" applyBorder="0" applyAlignment="0" applyProtection="0"/>
    <xf numFmtId="168" fontId="16" fillId="51" borderId="0" applyNumberFormat="0" applyBorder="0" applyAlignment="0" applyProtection="0"/>
    <xf numFmtId="168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66" fontId="19" fillId="4" borderId="0" applyNumberFormat="0" applyBorder="0" applyAlignment="0" applyProtection="0"/>
    <xf numFmtId="166" fontId="19" fillId="4" borderId="0" applyNumberFormat="0" applyBorder="0" applyAlignment="0" applyProtection="0"/>
    <xf numFmtId="168" fontId="18" fillId="35" borderId="0" applyNumberFormat="0" applyBorder="0" applyAlignment="0" applyProtection="0"/>
    <xf numFmtId="168" fontId="18" fillId="35" borderId="0" applyNumberFormat="0" applyBorder="0" applyAlignment="0" applyProtection="0"/>
    <xf numFmtId="168" fontId="18" fillId="35" borderId="0" applyNumberFormat="0" applyBorder="0" applyAlignment="0" applyProtection="0"/>
    <xf numFmtId="168" fontId="18" fillId="35" borderId="0" applyNumberFormat="0" applyBorder="0" applyAlignment="0" applyProtection="0"/>
    <xf numFmtId="168" fontId="18" fillId="35" borderId="0" applyNumberFormat="0" applyBorder="0" applyAlignment="0" applyProtection="0"/>
    <xf numFmtId="168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52" borderId="16" applyNumberFormat="0" applyAlignment="0" applyProtection="0"/>
    <xf numFmtId="0" fontId="20" fillId="52" borderId="16" applyNumberFormat="0" applyAlignment="0" applyProtection="0"/>
    <xf numFmtId="0" fontId="20" fillId="52" borderId="16" applyNumberFormat="0" applyAlignment="0" applyProtection="0"/>
    <xf numFmtId="0" fontId="20" fillId="52" borderId="16" applyNumberFormat="0" applyAlignment="0" applyProtection="0"/>
    <xf numFmtId="0" fontId="20" fillId="52" borderId="16" applyNumberFormat="0" applyAlignment="0" applyProtection="0"/>
    <xf numFmtId="166" fontId="21" fillId="7" borderId="8" applyNumberFormat="0" applyAlignment="0" applyProtection="0"/>
    <xf numFmtId="166" fontId="21" fillId="7" borderId="8" applyNumberFormat="0" applyAlignment="0" applyProtection="0"/>
    <xf numFmtId="168" fontId="20" fillId="52" borderId="16" applyNumberFormat="0" applyAlignment="0" applyProtection="0"/>
    <xf numFmtId="168" fontId="20" fillId="52" borderId="16" applyNumberFormat="0" applyAlignment="0" applyProtection="0"/>
    <xf numFmtId="168" fontId="20" fillId="52" borderId="16" applyNumberFormat="0" applyAlignment="0" applyProtection="0"/>
    <xf numFmtId="168" fontId="20" fillId="52" borderId="16" applyNumberFormat="0" applyAlignment="0" applyProtection="0"/>
    <xf numFmtId="168" fontId="20" fillId="52" borderId="16" applyNumberFormat="0" applyAlignment="0" applyProtection="0"/>
    <xf numFmtId="168" fontId="20" fillId="52" borderId="16" applyNumberFormat="0" applyAlignment="0" applyProtection="0"/>
    <xf numFmtId="168" fontId="20" fillId="52" borderId="16" applyNumberFormat="0" applyAlignment="0" applyProtection="0"/>
    <xf numFmtId="0" fontId="20" fillId="52" borderId="16" applyNumberFormat="0" applyAlignment="0" applyProtection="0"/>
    <xf numFmtId="0" fontId="22" fillId="53" borderId="17" applyNumberFormat="0" applyAlignment="0" applyProtection="0"/>
    <xf numFmtId="0" fontId="22" fillId="53" borderId="17" applyNumberFormat="0" applyAlignment="0" applyProtection="0"/>
    <xf numFmtId="0" fontId="22" fillId="53" borderId="17" applyNumberFormat="0" applyAlignment="0" applyProtection="0"/>
    <xf numFmtId="0" fontId="22" fillId="53" borderId="17" applyNumberFormat="0" applyAlignment="0" applyProtection="0"/>
    <xf numFmtId="0" fontId="22" fillId="53" borderId="17" applyNumberFormat="0" applyAlignment="0" applyProtection="0"/>
    <xf numFmtId="166" fontId="23" fillId="8" borderId="11" applyNumberFormat="0" applyAlignment="0" applyProtection="0"/>
    <xf numFmtId="166" fontId="23" fillId="8" borderId="11" applyNumberFormat="0" applyAlignment="0" applyProtection="0"/>
    <xf numFmtId="168" fontId="22" fillId="53" borderId="17" applyNumberFormat="0" applyAlignment="0" applyProtection="0"/>
    <xf numFmtId="168" fontId="22" fillId="53" borderId="17" applyNumberFormat="0" applyAlignment="0" applyProtection="0"/>
    <xf numFmtId="168" fontId="22" fillId="53" borderId="17" applyNumberFormat="0" applyAlignment="0" applyProtection="0"/>
    <xf numFmtId="168" fontId="22" fillId="53" borderId="17" applyNumberFormat="0" applyAlignment="0" applyProtection="0"/>
    <xf numFmtId="168" fontId="22" fillId="53" borderId="17" applyNumberFormat="0" applyAlignment="0" applyProtection="0"/>
    <xf numFmtId="168" fontId="22" fillId="53" borderId="17" applyNumberFormat="0" applyAlignment="0" applyProtection="0"/>
    <xf numFmtId="168" fontId="22" fillId="53" borderId="17" applyNumberFormat="0" applyAlignment="0" applyProtection="0"/>
    <xf numFmtId="0" fontId="22" fillId="53" borderId="1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66" fontId="1" fillId="0" borderId="0" applyProtection="0"/>
    <xf numFmtId="166" fontId="1" fillId="0" borderId="0" applyProtection="0"/>
    <xf numFmtId="0" fontId="1" fillId="0" borderId="0" applyProtection="0"/>
    <xf numFmtId="168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7" fillId="0" borderId="0" applyProtection="0"/>
    <xf numFmtId="168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66" fontId="10" fillId="0" borderId="0" applyProtection="0"/>
    <xf numFmtId="166" fontId="10" fillId="0" borderId="0" applyProtection="0"/>
    <xf numFmtId="0" fontId="10" fillId="0" borderId="0" applyProtection="0"/>
    <xf numFmtId="168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6" fontId="2" fillId="0" borderId="0" applyProtection="0"/>
    <xf numFmtId="166" fontId="2" fillId="0" borderId="0" applyProtection="0"/>
    <xf numFmtId="0" fontId="2" fillId="0" borderId="0" applyProtection="0"/>
    <xf numFmtId="168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6" fontId="3" fillId="0" borderId="0" applyProtection="0"/>
    <xf numFmtId="166" fontId="3" fillId="0" borderId="0" applyProtection="0"/>
    <xf numFmtId="0" fontId="3" fillId="0" borderId="0" applyProtection="0"/>
    <xf numFmtId="168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66" fontId="1" fillId="0" borderId="0" applyProtection="0"/>
    <xf numFmtId="166" fontId="1" fillId="0" borderId="0" applyProtection="0"/>
    <xf numFmtId="0" fontId="1" fillId="0" borderId="0" applyProtection="0"/>
    <xf numFmtId="168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166" fontId="26" fillId="0" borderId="0" applyProtection="0"/>
    <xf numFmtId="166" fontId="26" fillId="0" borderId="0" applyProtection="0"/>
    <xf numFmtId="0" fontId="26" fillId="0" borderId="0" applyProtection="0"/>
    <xf numFmtId="2" fontId="3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8" fillId="3" borderId="0" applyNumberFormat="0" applyBorder="0" applyAlignment="0" applyProtection="0"/>
    <xf numFmtId="166" fontId="28" fillId="3" borderId="0" applyNumberFormat="0" applyBorder="0" applyAlignment="0" applyProtection="0"/>
    <xf numFmtId="168" fontId="27" fillId="36" borderId="0" applyNumberFormat="0" applyBorder="0" applyAlignment="0" applyProtection="0"/>
    <xf numFmtId="168" fontId="27" fillId="36" borderId="0" applyNumberFormat="0" applyBorder="0" applyAlignment="0" applyProtection="0"/>
    <xf numFmtId="168" fontId="27" fillId="36" borderId="0" applyNumberFormat="0" applyBorder="0" applyAlignment="0" applyProtection="0"/>
    <xf numFmtId="168" fontId="27" fillId="36" borderId="0" applyNumberFormat="0" applyBorder="0" applyAlignment="0" applyProtection="0"/>
    <xf numFmtId="168" fontId="27" fillId="36" borderId="0" applyNumberFormat="0" applyBorder="0" applyAlignment="0" applyProtection="0"/>
    <xf numFmtId="168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30" fillId="0" borderId="5" applyNumberFormat="0" applyFill="0" applyAlignment="0" applyProtection="0"/>
    <xf numFmtId="166" fontId="30" fillId="0" borderId="5" applyNumberFormat="0" applyFill="0" applyAlignment="0" applyProtection="0"/>
    <xf numFmtId="168" fontId="29" fillId="0" borderId="18" applyNumberFormat="0" applyFill="0" applyAlignment="0" applyProtection="0"/>
    <xf numFmtId="168" fontId="29" fillId="0" borderId="18" applyNumberFormat="0" applyFill="0" applyAlignment="0" applyProtection="0"/>
    <xf numFmtId="168" fontId="29" fillId="0" borderId="18" applyNumberFormat="0" applyFill="0" applyAlignment="0" applyProtection="0"/>
    <xf numFmtId="168" fontId="29" fillId="0" borderId="18" applyNumberFormat="0" applyFill="0" applyAlignment="0" applyProtection="0"/>
    <xf numFmtId="168" fontId="29" fillId="0" borderId="18" applyNumberFormat="0" applyFill="0" applyAlignment="0" applyProtection="0"/>
    <xf numFmtId="168" fontId="29" fillId="0" borderId="18" applyNumberFormat="0" applyFill="0" applyAlignment="0" applyProtection="0"/>
    <xf numFmtId="168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2" fillId="0" borderId="6" applyNumberFormat="0" applyFill="0" applyAlignment="0" applyProtection="0"/>
    <xf numFmtId="166" fontId="32" fillId="0" borderId="6" applyNumberFormat="0" applyFill="0" applyAlignment="0" applyProtection="0"/>
    <xf numFmtId="168" fontId="31" fillId="0" borderId="19" applyNumberFormat="0" applyFill="0" applyAlignment="0" applyProtection="0"/>
    <xf numFmtId="168" fontId="31" fillId="0" borderId="19" applyNumberFormat="0" applyFill="0" applyAlignment="0" applyProtection="0"/>
    <xf numFmtId="168" fontId="31" fillId="0" borderId="19" applyNumberFormat="0" applyFill="0" applyAlignment="0" applyProtection="0"/>
    <xf numFmtId="168" fontId="31" fillId="0" borderId="19" applyNumberFormat="0" applyFill="0" applyAlignment="0" applyProtection="0"/>
    <xf numFmtId="168" fontId="31" fillId="0" borderId="19" applyNumberFormat="0" applyFill="0" applyAlignment="0" applyProtection="0"/>
    <xf numFmtId="168" fontId="31" fillId="0" borderId="19" applyNumberFormat="0" applyFill="0" applyAlignment="0" applyProtection="0"/>
    <xf numFmtId="168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4" fillId="0" borderId="7" applyNumberFormat="0" applyFill="0" applyAlignment="0" applyProtection="0"/>
    <xf numFmtId="166" fontId="34" fillId="0" borderId="7" applyNumberFormat="0" applyFill="0" applyAlignment="0" applyProtection="0"/>
    <xf numFmtId="168" fontId="33" fillId="0" borderId="20" applyNumberFormat="0" applyFill="0" applyAlignment="0" applyProtection="0"/>
    <xf numFmtId="168" fontId="33" fillId="0" borderId="20" applyNumberFormat="0" applyFill="0" applyAlignment="0" applyProtection="0"/>
    <xf numFmtId="168" fontId="33" fillId="0" borderId="20" applyNumberFormat="0" applyFill="0" applyAlignment="0" applyProtection="0"/>
    <xf numFmtId="168" fontId="33" fillId="0" borderId="20" applyNumberFormat="0" applyFill="0" applyAlignment="0" applyProtection="0"/>
    <xf numFmtId="168" fontId="33" fillId="0" borderId="20" applyNumberFormat="0" applyFill="0" applyAlignment="0" applyProtection="0"/>
    <xf numFmtId="168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39" borderId="16" applyNumberFormat="0" applyAlignment="0" applyProtection="0"/>
    <xf numFmtId="0" fontId="35" fillId="39" borderId="16" applyNumberFormat="0" applyAlignment="0" applyProtection="0"/>
    <xf numFmtId="0" fontId="35" fillId="39" borderId="16" applyNumberFormat="0" applyAlignment="0" applyProtection="0"/>
    <xf numFmtId="0" fontId="35" fillId="39" borderId="16" applyNumberFormat="0" applyAlignment="0" applyProtection="0"/>
    <xf numFmtId="0" fontId="35" fillId="39" borderId="16" applyNumberFormat="0" applyAlignment="0" applyProtection="0"/>
    <xf numFmtId="166" fontId="36" fillId="6" borderId="8" applyNumberFormat="0" applyAlignment="0" applyProtection="0"/>
    <xf numFmtId="166" fontId="36" fillId="6" borderId="8" applyNumberFormat="0" applyAlignment="0" applyProtection="0"/>
    <xf numFmtId="168" fontId="35" fillId="39" borderId="16" applyNumberFormat="0" applyAlignment="0" applyProtection="0"/>
    <xf numFmtId="168" fontId="35" fillId="39" borderId="16" applyNumberFormat="0" applyAlignment="0" applyProtection="0"/>
    <xf numFmtId="168" fontId="35" fillId="39" borderId="16" applyNumberFormat="0" applyAlignment="0" applyProtection="0"/>
    <xf numFmtId="168" fontId="35" fillId="39" borderId="16" applyNumberFormat="0" applyAlignment="0" applyProtection="0"/>
    <xf numFmtId="168" fontId="35" fillId="39" borderId="16" applyNumberFormat="0" applyAlignment="0" applyProtection="0"/>
    <xf numFmtId="168" fontId="35" fillId="39" borderId="16" applyNumberFormat="0" applyAlignment="0" applyProtection="0"/>
    <xf numFmtId="168" fontId="35" fillId="39" borderId="16" applyNumberFormat="0" applyAlignment="0" applyProtection="0"/>
    <xf numFmtId="0" fontId="35" fillId="39" borderId="16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8" fillId="0" borderId="10" applyNumberFormat="0" applyFill="0" applyAlignment="0" applyProtection="0"/>
    <xf numFmtId="166" fontId="38" fillId="0" borderId="10" applyNumberFormat="0" applyFill="0" applyAlignment="0" applyProtection="0"/>
    <xf numFmtId="168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66" fontId="40" fillId="5" borderId="0" applyNumberFormat="0" applyBorder="0" applyAlignment="0" applyProtection="0"/>
    <xf numFmtId="166" fontId="40" fillId="5" borderId="0" applyNumberFormat="0" applyBorder="0" applyAlignment="0" applyProtection="0"/>
    <xf numFmtId="168" fontId="39" fillId="54" borderId="0" applyNumberFormat="0" applyBorder="0" applyAlignment="0" applyProtection="0"/>
    <xf numFmtId="168" fontId="39" fillId="54" borderId="0" applyNumberFormat="0" applyBorder="0" applyAlignment="0" applyProtection="0"/>
    <xf numFmtId="168" fontId="39" fillId="54" borderId="0" applyNumberFormat="0" applyBorder="0" applyAlignment="0" applyProtection="0"/>
    <xf numFmtId="168" fontId="39" fillId="54" borderId="0" applyNumberFormat="0" applyBorder="0" applyAlignment="0" applyProtection="0"/>
    <xf numFmtId="168" fontId="39" fillId="54" borderId="0" applyNumberFormat="0" applyBorder="0" applyAlignment="0" applyProtection="0"/>
    <xf numFmtId="168" fontId="39" fillId="54" borderId="0" applyNumberFormat="0" applyBorder="0" applyAlignment="0" applyProtection="0"/>
    <xf numFmtId="168" fontId="39" fillId="54" borderId="0" applyNumberFormat="0" applyBorder="0" applyAlignment="0" applyProtection="0"/>
    <xf numFmtId="0" fontId="39" fillId="54" borderId="0" applyNumberFormat="0" applyBorder="0" applyAlignment="0" applyProtection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6" fontId="3" fillId="0" borderId="0"/>
    <xf numFmtId="166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41" fontId="13" fillId="0" borderId="0"/>
    <xf numFmtId="41" fontId="13" fillId="0" borderId="0"/>
    <xf numFmtId="41" fontId="13" fillId="0" borderId="0"/>
    <xf numFmtId="168" fontId="41" fillId="0" borderId="0"/>
    <xf numFmtId="168" fontId="41" fillId="0" borderId="0"/>
    <xf numFmtId="168" fontId="41" fillId="0" borderId="0"/>
    <xf numFmtId="168" fontId="41" fillId="0" borderId="0"/>
    <xf numFmtId="168" fontId="41" fillId="0" borderId="0"/>
    <xf numFmtId="166" fontId="15" fillId="0" borderId="0"/>
    <xf numFmtId="166" fontId="15" fillId="0" borderId="0"/>
    <xf numFmtId="168" fontId="41" fillId="0" borderId="0"/>
    <xf numFmtId="168" fontId="41" fillId="0" borderId="0"/>
    <xf numFmtId="168" fontId="41" fillId="0" borderId="0"/>
    <xf numFmtId="168" fontId="41" fillId="0" borderId="0"/>
    <xf numFmtId="168" fontId="41" fillId="0" borderId="0"/>
    <xf numFmtId="168" fontId="41" fillId="0" borderId="0"/>
    <xf numFmtId="168" fontId="41" fillId="0" borderId="0"/>
    <xf numFmtId="168" fontId="41" fillId="0" borderId="0"/>
    <xf numFmtId="168" fontId="41" fillId="0" borderId="0"/>
    <xf numFmtId="166" fontId="15" fillId="0" borderId="0"/>
    <xf numFmtId="166" fontId="15" fillId="0" borderId="0"/>
    <xf numFmtId="0" fontId="3" fillId="0" borderId="0"/>
    <xf numFmtId="166" fontId="15" fillId="0" borderId="0"/>
    <xf numFmtId="166" fontId="15" fillId="0" borderId="0"/>
    <xf numFmtId="168" fontId="3" fillId="0" borderId="0"/>
    <xf numFmtId="166" fontId="15" fillId="0" borderId="0"/>
    <xf numFmtId="166" fontId="15" fillId="0" borderId="0"/>
    <xf numFmtId="168" fontId="3" fillId="0" borderId="0"/>
    <xf numFmtId="166" fontId="15" fillId="0" borderId="0"/>
    <xf numFmtId="166" fontId="15" fillId="0" borderId="0"/>
    <xf numFmtId="168" fontId="3" fillId="0" borderId="0"/>
    <xf numFmtId="166" fontId="15" fillId="0" borderId="0"/>
    <xf numFmtId="166" fontId="15" fillId="0" borderId="0"/>
    <xf numFmtId="168" fontId="3" fillId="0" borderId="0"/>
    <xf numFmtId="166" fontId="15" fillId="0" borderId="0"/>
    <xf numFmtId="166" fontId="15" fillId="0" borderId="0"/>
    <xf numFmtId="0" fontId="42" fillId="55" borderId="22" applyNumberFormat="0" applyFont="0" applyAlignment="0" applyProtection="0"/>
    <xf numFmtId="0" fontId="42" fillId="55" borderId="22" applyNumberFormat="0" applyFont="0" applyAlignment="0" applyProtection="0"/>
    <xf numFmtId="0" fontId="42" fillId="55" borderId="22" applyNumberFormat="0" applyFont="0" applyAlignment="0" applyProtection="0"/>
    <xf numFmtId="0" fontId="42" fillId="55" borderId="22" applyNumberFormat="0" applyFont="0" applyAlignment="0" applyProtection="0"/>
    <xf numFmtId="0" fontId="42" fillId="55" borderId="22" applyNumberFormat="0" applyFont="0" applyAlignment="0" applyProtection="0"/>
    <xf numFmtId="168" fontId="42" fillId="55" borderId="22" applyNumberFormat="0" applyFont="0" applyAlignment="0" applyProtection="0"/>
    <xf numFmtId="166" fontId="42" fillId="9" borderId="12" applyNumberFormat="0" applyFont="0" applyAlignment="0" applyProtection="0"/>
    <xf numFmtId="166" fontId="42" fillId="9" borderId="12" applyNumberFormat="0" applyFont="0" applyAlignment="0" applyProtection="0"/>
    <xf numFmtId="168" fontId="42" fillId="55" borderId="22" applyNumberFormat="0" applyFont="0" applyAlignment="0" applyProtection="0"/>
    <xf numFmtId="166" fontId="42" fillId="9" borderId="12" applyNumberFormat="0" applyFont="0" applyAlignment="0" applyProtection="0"/>
    <xf numFmtId="166" fontId="42" fillId="9" borderId="12" applyNumberFormat="0" applyFont="0" applyAlignment="0" applyProtection="0"/>
    <xf numFmtId="168" fontId="42" fillId="55" borderId="22" applyNumberFormat="0" applyFont="0" applyAlignment="0" applyProtection="0"/>
    <xf numFmtId="166" fontId="42" fillId="9" borderId="12" applyNumberFormat="0" applyFont="0" applyAlignment="0" applyProtection="0"/>
    <xf numFmtId="166" fontId="42" fillId="9" borderId="12" applyNumberFormat="0" applyFont="0" applyAlignment="0" applyProtection="0"/>
    <xf numFmtId="168" fontId="42" fillId="55" borderId="22" applyNumberFormat="0" applyFont="0" applyAlignment="0" applyProtection="0"/>
    <xf numFmtId="166" fontId="42" fillId="9" borderId="12" applyNumberFormat="0" applyFont="0" applyAlignment="0" applyProtection="0"/>
    <xf numFmtId="166" fontId="42" fillId="9" borderId="12" applyNumberFormat="0" applyFont="0" applyAlignment="0" applyProtection="0"/>
    <xf numFmtId="168" fontId="42" fillId="55" borderId="22" applyNumberFormat="0" applyFont="0" applyAlignment="0" applyProtection="0"/>
    <xf numFmtId="166" fontId="42" fillId="9" borderId="12" applyNumberFormat="0" applyFont="0" applyAlignment="0" applyProtection="0"/>
    <xf numFmtId="166" fontId="42" fillId="9" borderId="12" applyNumberFormat="0" applyFont="0" applyAlignment="0" applyProtection="0"/>
    <xf numFmtId="168" fontId="42" fillId="55" borderId="22" applyNumberFormat="0" applyFont="0" applyAlignment="0" applyProtection="0"/>
    <xf numFmtId="166" fontId="42" fillId="9" borderId="12" applyNumberFormat="0" applyFont="0" applyAlignment="0" applyProtection="0"/>
    <xf numFmtId="166" fontId="42" fillId="9" borderId="12" applyNumberFormat="0" applyFont="0" applyAlignment="0" applyProtection="0"/>
    <xf numFmtId="168" fontId="42" fillId="55" borderId="22" applyNumberFormat="0" applyFont="0" applyAlignment="0" applyProtection="0"/>
    <xf numFmtId="166" fontId="42" fillId="9" borderId="12" applyNumberFormat="0" applyFont="0" applyAlignment="0" applyProtection="0"/>
    <xf numFmtId="166" fontId="42" fillId="9" borderId="12" applyNumberFormat="0" applyFont="0" applyAlignment="0" applyProtection="0"/>
    <xf numFmtId="0" fontId="42" fillId="55" borderId="22" applyNumberFormat="0" applyFont="0" applyAlignment="0" applyProtection="0"/>
    <xf numFmtId="0" fontId="43" fillId="52" borderId="23" applyNumberFormat="0" applyAlignment="0" applyProtection="0"/>
    <xf numFmtId="0" fontId="43" fillId="52" borderId="23" applyNumberFormat="0" applyAlignment="0" applyProtection="0"/>
    <xf numFmtId="0" fontId="43" fillId="52" borderId="23" applyNumberFormat="0" applyAlignment="0" applyProtection="0"/>
    <xf numFmtId="0" fontId="43" fillId="52" borderId="23" applyNumberFormat="0" applyAlignment="0" applyProtection="0"/>
    <xf numFmtId="0" fontId="43" fillId="52" borderId="23" applyNumberFormat="0" applyAlignment="0" applyProtection="0"/>
    <xf numFmtId="166" fontId="44" fillId="7" borderId="9" applyNumberFormat="0" applyAlignment="0" applyProtection="0"/>
    <xf numFmtId="166" fontId="44" fillId="7" borderId="9" applyNumberFormat="0" applyAlignment="0" applyProtection="0"/>
    <xf numFmtId="168" fontId="43" fillId="52" borderId="23" applyNumberFormat="0" applyAlignment="0" applyProtection="0"/>
    <xf numFmtId="168" fontId="43" fillId="52" borderId="23" applyNumberFormat="0" applyAlignment="0" applyProtection="0"/>
    <xf numFmtId="168" fontId="43" fillId="52" borderId="23" applyNumberFormat="0" applyAlignment="0" applyProtection="0"/>
    <xf numFmtId="168" fontId="43" fillId="52" borderId="23" applyNumberFormat="0" applyAlignment="0" applyProtection="0"/>
    <xf numFmtId="168" fontId="43" fillId="52" borderId="23" applyNumberFormat="0" applyAlignment="0" applyProtection="0"/>
    <xf numFmtId="168" fontId="43" fillId="52" borderId="23" applyNumberFormat="0" applyAlignment="0" applyProtection="0"/>
    <xf numFmtId="168" fontId="43" fillId="52" borderId="23" applyNumberFormat="0" applyAlignment="0" applyProtection="0"/>
    <xf numFmtId="0" fontId="43" fillId="52" borderId="23" applyNumberFormat="0" applyAlignment="0" applyProtection="0"/>
    <xf numFmtId="4" fontId="11" fillId="2" borderId="0">
      <alignment horizontal="right"/>
    </xf>
    <xf numFmtId="168" fontId="45" fillId="2" borderId="0">
      <alignment horizontal="center" vertical="center"/>
    </xf>
    <xf numFmtId="0" fontId="45" fillId="2" borderId="0">
      <alignment horizontal="center" vertical="center"/>
    </xf>
    <xf numFmtId="0" fontId="45" fillId="2" borderId="0">
      <alignment horizontal="center" vertical="center"/>
    </xf>
    <xf numFmtId="0" fontId="45" fillId="2" borderId="0">
      <alignment horizontal="center" vertical="center"/>
    </xf>
    <xf numFmtId="0" fontId="45" fillId="2" borderId="0">
      <alignment horizontal="center" vertical="center"/>
    </xf>
    <xf numFmtId="0" fontId="45" fillId="2" borderId="0">
      <alignment horizontal="center" vertical="center"/>
    </xf>
    <xf numFmtId="0" fontId="45" fillId="2" borderId="0">
      <alignment horizontal="center" vertical="center"/>
    </xf>
    <xf numFmtId="166" fontId="45" fillId="2" borderId="0">
      <alignment horizontal="center" vertical="center"/>
    </xf>
    <xf numFmtId="166" fontId="45" fillId="2" borderId="0">
      <alignment horizontal="center" vertical="center"/>
    </xf>
    <xf numFmtId="0" fontId="45" fillId="2" borderId="0">
      <alignment horizontal="center" vertical="center"/>
    </xf>
    <xf numFmtId="168" fontId="8" fillId="2" borderId="4"/>
    <xf numFmtId="0" fontId="8" fillId="2" borderId="4"/>
    <xf numFmtId="0" fontId="8" fillId="2" borderId="4"/>
    <xf numFmtId="0" fontId="8" fillId="2" borderId="4"/>
    <xf numFmtId="0" fontId="8" fillId="2" borderId="4"/>
    <xf numFmtId="0" fontId="8" fillId="2" borderId="4"/>
    <xf numFmtId="0" fontId="8" fillId="2" borderId="4"/>
    <xf numFmtId="166" fontId="8" fillId="2" borderId="4"/>
    <xf numFmtId="166" fontId="8" fillId="2" borderId="4"/>
    <xf numFmtId="0" fontId="8" fillId="2" borderId="4"/>
    <xf numFmtId="168" fontId="45" fillId="2" borderId="0" applyBorder="0">
      <alignment horizontal="centerContinuous"/>
    </xf>
    <xf numFmtId="0" fontId="45" fillId="2" borderId="0" applyBorder="0">
      <alignment horizontal="centerContinuous"/>
    </xf>
    <xf numFmtId="0" fontId="45" fillId="2" borderId="0" applyBorder="0">
      <alignment horizontal="centerContinuous"/>
    </xf>
    <xf numFmtId="0" fontId="45" fillId="2" borderId="0" applyBorder="0">
      <alignment horizontal="centerContinuous"/>
    </xf>
    <xf numFmtId="0" fontId="45" fillId="2" borderId="0" applyBorder="0">
      <alignment horizontal="centerContinuous"/>
    </xf>
    <xf numFmtId="0" fontId="45" fillId="2" borderId="0" applyBorder="0">
      <alignment horizontal="centerContinuous"/>
    </xf>
    <xf numFmtId="0" fontId="45" fillId="2" borderId="0" applyBorder="0">
      <alignment horizontal="centerContinuous"/>
    </xf>
    <xf numFmtId="166" fontId="45" fillId="2" borderId="0" applyBorder="0">
      <alignment horizontal="centerContinuous"/>
    </xf>
    <xf numFmtId="166" fontId="45" fillId="2" borderId="0" applyBorder="0">
      <alignment horizontal="centerContinuous"/>
    </xf>
    <xf numFmtId="0" fontId="45" fillId="2" borderId="0" applyBorder="0">
      <alignment horizontal="centerContinuous"/>
    </xf>
    <xf numFmtId="168" fontId="46" fillId="2" borderId="0" applyBorder="0">
      <alignment horizontal="centerContinuous"/>
    </xf>
    <xf numFmtId="0" fontId="46" fillId="2" borderId="0" applyBorder="0">
      <alignment horizontal="centerContinuous"/>
    </xf>
    <xf numFmtId="0" fontId="46" fillId="2" borderId="0" applyBorder="0">
      <alignment horizontal="centerContinuous"/>
    </xf>
    <xf numFmtId="0" fontId="46" fillId="2" borderId="0" applyBorder="0">
      <alignment horizontal="centerContinuous"/>
    </xf>
    <xf numFmtId="0" fontId="46" fillId="2" borderId="0" applyBorder="0">
      <alignment horizontal="centerContinuous"/>
    </xf>
    <xf numFmtId="0" fontId="46" fillId="2" borderId="0" applyBorder="0">
      <alignment horizontal="centerContinuous"/>
    </xf>
    <xf numFmtId="0" fontId="46" fillId="2" borderId="0" applyBorder="0">
      <alignment horizontal="centerContinuous"/>
    </xf>
    <xf numFmtId="166" fontId="46" fillId="2" borderId="0" applyBorder="0">
      <alignment horizontal="centerContinuous"/>
    </xf>
    <xf numFmtId="166" fontId="46" fillId="2" borderId="0" applyBorder="0">
      <alignment horizontal="centerContinuous"/>
    </xf>
    <xf numFmtId="0" fontId="46" fillId="2" borderId="0" applyBorder="0">
      <alignment horizontal="centerContinuous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166" fontId="49" fillId="0" borderId="13" applyNumberFormat="0" applyFill="0" applyAlignment="0" applyProtection="0"/>
    <xf numFmtId="166" fontId="49" fillId="0" borderId="13" applyNumberFormat="0" applyFill="0" applyAlignment="0" applyProtection="0"/>
    <xf numFmtId="168" fontId="48" fillId="0" borderId="24" applyNumberFormat="0" applyFill="0" applyAlignment="0" applyProtection="0"/>
    <xf numFmtId="168" fontId="48" fillId="0" borderId="24" applyNumberFormat="0" applyFill="0" applyAlignment="0" applyProtection="0"/>
    <xf numFmtId="168" fontId="48" fillId="0" borderId="24" applyNumberFormat="0" applyFill="0" applyAlignment="0" applyProtection="0"/>
    <xf numFmtId="168" fontId="48" fillId="0" borderId="24" applyNumberFormat="0" applyFill="0" applyAlignment="0" applyProtection="0"/>
    <xf numFmtId="168" fontId="48" fillId="0" borderId="24" applyNumberFormat="0" applyFill="0" applyAlignment="0" applyProtection="0"/>
    <xf numFmtId="168" fontId="48" fillId="0" borderId="24" applyNumberFormat="0" applyFill="0" applyAlignment="0" applyProtection="0"/>
    <xf numFmtId="168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3" fillId="0" borderId="0"/>
    <xf numFmtId="44" fontId="14" fillId="0" borderId="0" applyFont="0" applyFill="0" applyBorder="0" applyAlignment="0" applyProtection="0"/>
    <xf numFmtId="168" fontId="3" fillId="0" borderId="0"/>
    <xf numFmtId="41" fontId="13" fillId="0" borderId="0"/>
    <xf numFmtId="0" fontId="4" fillId="0" borderId="0"/>
  </cellStyleXfs>
  <cellXfs count="28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3" applyNumberFormat="1" applyFont="1"/>
    <xf numFmtId="0" fontId="0" fillId="0" borderId="0" xfId="0" applyFont="1" applyFill="1"/>
    <xf numFmtId="0" fontId="53" fillId="0" borderId="0" xfId="0" applyFont="1"/>
    <xf numFmtId="0" fontId="53" fillId="0" borderId="0" xfId="0" applyFont="1" applyFill="1"/>
    <xf numFmtId="37" fontId="0" fillId="0" borderId="0" xfId="0" applyNumberFormat="1" applyFont="1"/>
    <xf numFmtId="164" fontId="0" fillId="0" borderId="0" xfId="0" applyNumberFormat="1" applyFont="1"/>
    <xf numFmtId="43" fontId="0" fillId="0" borderId="0" xfId="0" applyNumberFormat="1" applyFont="1"/>
    <xf numFmtId="0" fontId="52" fillId="0" borderId="0" xfId="0" applyFont="1" applyAlignment="1">
      <alignment horizontal="left"/>
    </xf>
    <xf numFmtId="0" fontId="52" fillId="0" borderId="0" xfId="0" applyFont="1"/>
    <xf numFmtId="0" fontId="57" fillId="0" borderId="0" xfId="0" applyFont="1"/>
    <xf numFmtId="0" fontId="56" fillId="0" borderId="0" xfId="0" applyFont="1"/>
    <xf numFmtId="43" fontId="58" fillId="0" borderId="0" xfId="9" applyFont="1" applyFill="1" applyBorder="1" applyAlignment="1">
      <alignment horizontal="left"/>
    </xf>
    <xf numFmtId="0" fontId="53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9" fillId="0" borderId="0" xfId="0" applyFont="1" applyFill="1"/>
    <xf numFmtId="41" fontId="58" fillId="0" borderId="0" xfId="848" quotePrefix="1" applyFont="1" applyFill="1" applyBorder="1" applyAlignment="1">
      <alignment horizontal="right"/>
    </xf>
    <xf numFmtId="41" fontId="58" fillId="0" borderId="0" xfId="848" applyFont="1" applyFill="1" applyBorder="1" applyAlignment="1">
      <alignment horizontal="left"/>
    </xf>
    <xf numFmtId="41" fontId="58" fillId="0" borderId="0" xfId="848" applyFont="1" applyFill="1" applyBorder="1" applyAlignment="1">
      <alignment horizontal="right"/>
    </xf>
    <xf numFmtId="41" fontId="59" fillId="0" borderId="0" xfId="848" applyFont="1" applyFill="1" applyBorder="1" applyAlignment="1">
      <alignment horizontal="left"/>
    </xf>
    <xf numFmtId="168" fontId="59" fillId="0" borderId="0" xfId="847" applyFont="1" applyFill="1" applyBorder="1"/>
    <xf numFmtId="168" fontId="59" fillId="0" borderId="0" xfId="847" applyFont="1" applyFill="1" applyBorder="1" applyAlignment="1">
      <alignment horizontal="right"/>
    </xf>
    <xf numFmtId="170" fontId="59" fillId="0" borderId="0" xfId="847" applyNumberFormat="1" applyFont="1" applyFill="1" applyBorder="1" applyAlignment="1" applyProtection="1">
      <alignment horizontal="center"/>
    </xf>
    <xf numFmtId="0" fontId="59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right"/>
    </xf>
    <xf numFmtId="0" fontId="58" fillId="0" borderId="14" xfId="0" applyFont="1" applyFill="1" applyBorder="1"/>
    <xf numFmtId="0" fontId="58" fillId="0" borderId="14" xfId="0" applyFont="1" applyFill="1" applyBorder="1" applyAlignment="1">
      <alignment horizontal="center" wrapText="1"/>
    </xf>
    <xf numFmtId="0" fontId="58" fillId="0" borderId="14" xfId="844" applyFont="1" applyFill="1" applyBorder="1" applyAlignment="1">
      <alignment horizontal="center"/>
    </xf>
    <xf numFmtId="0" fontId="58" fillId="0" borderId="14" xfId="0" applyFont="1" applyFill="1" applyBorder="1" applyAlignment="1">
      <alignment horizontal="right"/>
    </xf>
    <xf numFmtId="0" fontId="58" fillId="0" borderId="14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right"/>
    </xf>
    <xf numFmtId="0" fontId="60" fillId="0" borderId="0" xfId="0" applyFont="1" applyFill="1"/>
    <xf numFmtId="0" fontId="58" fillId="0" borderId="0" xfId="0" applyFont="1" applyFill="1"/>
    <xf numFmtId="0" fontId="59" fillId="0" borderId="0" xfId="0" applyFont="1" applyFill="1" applyAlignment="1">
      <alignment horizontal="right"/>
    </xf>
    <xf numFmtId="0" fontId="59" fillId="0" borderId="0" xfId="844" applyFont="1" applyFill="1"/>
    <xf numFmtId="164" fontId="59" fillId="0" borderId="0" xfId="1" applyNumberFormat="1" applyFont="1" applyFill="1"/>
    <xf numFmtId="165" fontId="59" fillId="0" borderId="0" xfId="0" applyNumberFormat="1" applyFont="1" applyFill="1"/>
    <xf numFmtId="44" fontId="59" fillId="0" borderId="0" xfId="4" applyFont="1" applyFill="1"/>
    <xf numFmtId="172" fontId="59" fillId="0" borderId="0" xfId="4" applyNumberFormat="1" applyFont="1" applyFill="1"/>
    <xf numFmtId="165" fontId="59" fillId="0" borderId="1" xfId="0" applyNumberFormat="1" applyFont="1" applyFill="1" applyBorder="1"/>
    <xf numFmtId="37" fontId="59" fillId="0" borderId="0" xfId="3" applyNumberFormat="1" applyFont="1" applyFill="1" applyAlignment="1">
      <alignment horizontal="center"/>
    </xf>
    <xf numFmtId="0" fontId="59" fillId="0" borderId="0" xfId="0" quotePrefix="1" applyFont="1" applyFill="1" applyAlignment="1">
      <alignment horizontal="left"/>
    </xf>
    <xf numFmtId="177" fontId="59" fillId="0" borderId="0" xfId="4" applyNumberFormat="1" applyFont="1" applyFill="1"/>
    <xf numFmtId="165" fontId="58" fillId="0" borderId="0" xfId="0" applyNumberFormat="1" applyFont="1" applyFill="1"/>
    <xf numFmtId="37" fontId="59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65" fontId="58" fillId="0" borderId="15" xfId="844" applyNumberFormat="1" applyFont="1" applyFill="1" applyBorder="1"/>
    <xf numFmtId="165" fontId="58" fillId="0" borderId="0" xfId="844" applyNumberFormat="1" applyFont="1" applyFill="1" applyBorder="1"/>
    <xf numFmtId="164" fontId="53" fillId="0" borderId="0" xfId="3" applyNumberFormat="1" applyFont="1"/>
    <xf numFmtId="165" fontId="53" fillId="0" borderId="0" xfId="0" applyNumberFormat="1" applyFont="1"/>
    <xf numFmtId="0" fontId="59" fillId="0" borderId="0" xfId="0" applyFont="1" applyFill="1" applyAlignment="1">
      <alignment horizontal="left"/>
    </xf>
    <xf numFmtId="164" fontId="53" fillId="0" borderId="0" xfId="0" applyNumberFormat="1" applyFont="1"/>
    <xf numFmtId="10" fontId="59" fillId="0" borderId="0" xfId="10" applyNumberFormat="1" applyFont="1" applyFill="1" applyBorder="1"/>
    <xf numFmtId="0" fontId="61" fillId="0" borderId="0" xfId="844" applyFont="1" applyFill="1"/>
    <xf numFmtId="10" fontId="62" fillId="0" borderId="0" xfId="8" applyNumberFormat="1" applyFont="1" applyFill="1"/>
    <xf numFmtId="43" fontId="53" fillId="0" borderId="0" xfId="0" applyNumberFormat="1" applyFont="1"/>
    <xf numFmtId="0" fontId="61" fillId="0" borderId="0" xfId="0" applyFont="1" applyFill="1"/>
    <xf numFmtId="167" fontId="59" fillId="0" borderId="0" xfId="4" applyNumberFormat="1" applyFont="1" applyFill="1"/>
    <xf numFmtId="44" fontId="59" fillId="0" borderId="0" xfId="0" applyNumberFormat="1" applyFont="1" applyFill="1"/>
    <xf numFmtId="164" fontId="63" fillId="0" borderId="0" xfId="3" applyNumberFormat="1" applyFont="1"/>
    <xf numFmtId="10" fontId="62" fillId="0" borderId="0" xfId="0" applyNumberFormat="1" applyFont="1" applyFill="1"/>
    <xf numFmtId="0" fontId="59" fillId="0" borderId="0" xfId="0" applyFont="1" applyFill="1" applyAlignment="1">
      <alignment horizontal="center" wrapText="1"/>
    </xf>
    <xf numFmtId="42" fontId="59" fillId="0" borderId="0" xfId="0" applyNumberFormat="1" applyFont="1" applyFill="1"/>
    <xf numFmtId="0" fontId="59" fillId="0" borderId="1" xfId="0" applyFont="1" applyFill="1" applyBorder="1"/>
    <xf numFmtId="42" fontId="59" fillId="0" borderId="1" xfId="0" applyNumberFormat="1" applyFont="1" applyFill="1" applyBorder="1"/>
    <xf numFmtId="177" fontId="53" fillId="0" borderId="0" xfId="0" applyNumberFormat="1" applyFont="1"/>
    <xf numFmtId="42" fontId="53" fillId="0" borderId="0" xfId="0" applyNumberFormat="1" applyFont="1"/>
    <xf numFmtId="44" fontId="53" fillId="0" borderId="0" xfId="4" applyFont="1"/>
    <xf numFmtId="176" fontId="59" fillId="0" borderId="0" xfId="0" applyNumberFormat="1" applyFont="1" applyFill="1"/>
    <xf numFmtId="44" fontId="53" fillId="0" borderId="0" xfId="0" applyNumberFormat="1" applyFont="1"/>
    <xf numFmtId="44" fontId="59" fillId="0" borderId="0" xfId="4" applyNumberFormat="1" applyFont="1" applyFill="1"/>
    <xf numFmtId="176" fontId="59" fillId="0" borderId="1" xfId="0" applyNumberFormat="1" applyFont="1" applyFill="1" applyBorder="1"/>
    <xf numFmtId="164" fontId="59" fillId="0" borderId="0" xfId="0" applyNumberFormat="1" applyFont="1" applyFill="1"/>
    <xf numFmtId="43" fontId="59" fillId="0" borderId="0" xfId="0" applyNumberFormat="1" applyFont="1" applyFill="1" applyBorder="1"/>
    <xf numFmtId="42" fontId="59" fillId="0" borderId="0" xfId="0" applyNumberFormat="1" applyFont="1" applyFill="1" applyBorder="1"/>
    <xf numFmtId="165" fontId="53" fillId="0" borderId="0" xfId="4" applyNumberFormat="1" applyFont="1"/>
    <xf numFmtId="165" fontId="63" fillId="0" borderId="0" xfId="0" applyNumberFormat="1" applyFont="1" applyFill="1"/>
    <xf numFmtId="165" fontId="58" fillId="0" borderId="0" xfId="0" applyNumberFormat="1" applyFont="1" applyFill="1" applyBorder="1"/>
    <xf numFmtId="165" fontId="59" fillId="0" borderId="0" xfId="0" applyNumberFormat="1" applyFont="1" applyFill="1" applyBorder="1"/>
    <xf numFmtId="0" fontId="53" fillId="0" borderId="0" xfId="0" quotePrefix="1" applyFont="1" applyFill="1" applyAlignment="1">
      <alignment horizontal="left"/>
    </xf>
    <xf numFmtId="0" fontId="59" fillId="0" borderId="0" xfId="0" applyFont="1" applyFill="1" applyBorder="1"/>
    <xf numFmtId="164" fontId="59" fillId="0" borderId="0" xfId="3" applyNumberFormat="1" applyFont="1" applyFill="1" applyAlignment="1">
      <alignment horizontal="center"/>
    </xf>
    <xf numFmtId="167" fontId="59" fillId="0" borderId="0" xfId="0" applyNumberFormat="1" applyFont="1" applyFill="1"/>
    <xf numFmtId="164" fontId="58" fillId="0" borderId="0" xfId="0" applyNumberFormat="1" applyFont="1" applyFill="1"/>
    <xf numFmtId="43" fontId="59" fillId="0" borderId="0" xfId="0" applyNumberFormat="1" applyFont="1" applyFill="1"/>
    <xf numFmtId="164" fontId="59" fillId="0" borderId="0" xfId="0" applyNumberFormat="1" applyFont="1" applyFill="1" applyBorder="1"/>
    <xf numFmtId="0" fontId="53" fillId="0" borderId="0" xfId="0" applyFont="1" applyFill="1" applyAlignment="1">
      <alignment horizontal="left"/>
    </xf>
    <xf numFmtId="165" fontId="59" fillId="0" borderId="0" xfId="844" applyNumberFormat="1" applyFont="1" applyFill="1" applyBorder="1"/>
    <xf numFmtId="0" fontId="60" fillId="0" borderId="0" xfId="0" quotePrefix="1" applyFont="1" applyFill="1" applyAlignment="1">
      <alignment horizontal="left"/>
    </xf>
    <xf numFmtId="0" fontId="58" fillId="0" borderId="0" xfId="844" applyFont="1" applyFill="1"/>
    <xf numFmtId="0" fontId="59" fillId="0" borderId="0" xfId="0" applyFont="1" applyFill="1" applyBorder="1" applyAlignment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177" fontId="59" fillId="0" borderId="0" xfId="0" applyNumberFormat="1" applyFont="1" applyFill="1"/>
    <xf numFmtId="42" fontId="58" fillId="0" borderId="0" xfId="0" applyNumberFormat="1" applyFont="1" applyFill="1"/>
    <xf numFmtId="0" fontId="58" fillId="0" borderId="0" xfId="0" applyFont="1" applyFill="1" applyAlignment="1"/>
    <xf numFmtId="165" fontId="53" fillId="0" borderId="0" xfId="0" applyNumberFormat="1" applyFont="1" applyFill="1"/>
    <xf numFmtId="0" fontId="59" fillId="0" borderId="1" xfId="844" applyFont="1" applyFill="1" applyBorder="1"/>
    <xf numFmtId="164" fontId="59" fillId="0" borderId="0" xfId="0" applyNumberFormat="1" applyFont="1" applyFill="1" applyAlignment="1">
      <alignment horizontal="center"/>
    </xf>
    <xf numFmtId="42" fontId="58" fillId="0" borderId="0" xfId="0" applyNumberFormat="1" applyFont="1" applyFill="1" applyBorder="1"/>
    <xf numFmtId="172" fontId="59" fillId="0" borderId="0" xfId="0" applyNumberFormat="1" applyFont="1" applyFill="1"/>
    <xf numFmtId="0" fontId="58" fillId="0" borderId="0" xfId="0" quotePrefix="1" applyFont="1" applyFill="1" applyAlignment="1">
      <alignment horizontal="left"/>
    </xf>
    <xf numFmtId="42" fontId="58" fillId="0" borderId="15" xfId="0" applyNumberFormat="1" applyFont="1" applyFill="1" applyBorder="1"/>
    <xf numFmtId="1" fontId="53" fillId="0" borderId="0" xfId="0" applyNumberFormat="1" applyFont="1"/>
    <xf numFmtId="10" fontId="59" fillId="0" borderId="0" xfId="10" applyNumberFormat="1" applyFont="1" applyFill="1"/>
    <xf numFmtId="0" fontId="58" fillId="0" borderId="0" xfId="0" quotePrefix="1" applyFont="1" applyFill="1" applyProtection="1"/>
    <xf numFmtId="2" fontId="59" fillId="0" borderId="0" xfId="4" applyNumberFormat="1" applyFont="1" applyFill="1"/>
    <xf numFmtId="2" fontId="59" fillId="0" borderId="0" xfId="0" applyNumberFormat="1" applyFont="1" applyFill="1"/>
    <xf numFmtId="178" fontId="59" fillId="0" borderId="0" xfId="4" applyNumberFormat="1" applyFont="1" applyFill="1"/>
    <xf numFmtId="0" fontId="59" fillId="0" borderId="0" xfId="844" applyFont="1" applyFill="1" applyAlignment="1">
      <alignment horizontal="left" indent="1"/>
    </xf>
    <xf numFmtId="10" fontId="53" fillId="0" borderId="0" xfId="10" applyNumberFormat="1" applyFont="1"/>
    <xf numFmtId="0" fontId="59" fillId="0" borderId="0" xfId="0" quotePrefix="1" applyFont="1" applyFill="1"/>
    <xf numFmtId="41" fontId="59" fillId="0" borderId="0" xfId="848" applyFont="1" applyBorder="1"/>
    <xf numFmtId="41" fontId="58" fillId="0" borderId="0" xfId="848" quotePrefix="1" applyFont="1" applyBorder="1" applyAlignment="1">
      <alignment horizontal="right"/>
    </xf>
    <xf numFmtId="0" fontId="53" fillId="0" borderId="0" xfId="0" applyFont="1" applyBorder="1"/>
    <xf numFmtId="41" fontId="59" fillId="0" borderId="0" xfId="848" applyFont="1"/>
    <xf numFmtId="41" fontId="58" fillId="0" borderId="0" xfId="848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left"/>
    </xf>
    <xf numFmtId="0" fontId="55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165" fontId="53" fillId="0" borderId="0" xfId="846" applyNumberFormat="1" applyFont="1" applyAlignment="1">
      <alignment horizontal="center"/>
    </xf>
    <xf numFmtId="165" fontId="53" fillId="0" borderId="0" xfId="4" applyNumberFormat="1" applyFont="1" applyAlignment="1">
      <alignment horizontal="center"/>
    </xf>
    <xf numFmtId="10" fontId="53" fillId="0" borderId="0" xfId="0" applyNumberFormat="1" applyFont="1" applyAlignment="1">
      <alignment horizontal="center"/>
    </xf>
    <xf numFmtId="10" fontId="53" fillId="0" borderId="0" xfId="10" applyNumberFormat="1" applyFont="1" applyAlignment="1">
      <alignment horizontal="center"/>
    </xf>
    <xf numFmtId="165" fontId="53" fillId="0" borderId="0" xfId="4" applyNumberFormat="1" applyFont="1" applyFill="1" applyAlignment="1">
      <alignment horizontal="center"/>
    </xf>
    <xf numFmtId="10" fontId="53" fillId="0" borderId="0" xfId="10" applyNumberFormat="1" applyFont="1" applyFill="1" applyAlignment="1">
      <alignment horizontal="center"/>
    </xf>
    <xf numFmtId="165" fontId="53" fillId="0" borderId="3" xfId="846" applyNumberFormat="1" applyFont="1" applyFill="1" applyBorder="1" applyAlignment="1">
      <alignment horizontal="center"/>
    </xf>
    <xf numFmtId="10" fontId="53" fillId="0" borderId="3" xfId="10" applyNumberFormat="1" applyFont="1" applyFill="1" applyBorder="1" applyAlignment="1">
      <alignment horizontal="center"/>
    </xf>
    <xf numFmtId="164" fontId="53" fillId="0" borderId="0" xfId="843" applyNumberFormat="1" applyFont="1" applyFill="1" applyAlignment="1">
      <alignment horizontal="center"/>
    </xf>
    <xf numFmtId="9" fontId="53" fillId="0" borderId="0" xfId="0" applyNumberFormat="1" applyFont="1"/>
    <xf numFmtId="43" fontId="58" fillId="0" borderId="0" xfId="9" quotePrefix="1" applyFont="1" applyAlignment="1">
      <alignment horizontal="left"/>
    </xf>
    <xf numFmtId="0" fontId="55" fillId="0" borderId="0" xfId="0" quotePrefix="1" applyFont="1" applyAlignment="1">
      <alignment horizontal="right"/>
    </xf>
    <xf numFmtId="41" fontId="58" fillId="0" borderId="0" xfId="848" applyFont="1" applyFill="1" applyAlignment="1">
      <alignment horizontal="left"/>
    </xf>
    <xf numFmtId="0" fontId="55" fillId="0" borderId="0" xfId="0" applyFont="1" applyAlignment="1">
      <alignment horizontal="right"/>
    </xf>
    <xf numFmtId="0" fontId="53" fillId="0" borderId="14" xfId="0" applyFont="1" applyBorder="1"/>
    <xf numFmtId="0" fontId="53" fillId="0" borderId="14" xfId="0" applyFont="1" applyBorder="1" applyAlignment="1">
      <alignment horizontal="center" wrapText="1"/>
    </xf>
    <xf numFmtId="0" fontId="53" fillId="0" borderId="14" xfId="0" quotePrefix="1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175" fontId="53" fillId="0" borderId="0" xfId="0" applyNumberFormat="1" applyFont="1" applyAlignment="1">
      <alignment horizontal="center" wrapText="1"/>
    </xf>
    <xf numFmtId="175" fontId="53" fillId="0" borderId="0" xfId="0" applyNumberFormat="1" applyFont="1" applyFill="1" applyAlignment="1">
      <alignment horizontal="center" wrapText="1"/>
    </xf>
    <xf numFmtId="41" fontId="59" fillId="0" borderId="0" xfId="848" quotePrefix="1" applyFont="1" applyAlignment="1">
      <alignment horizontal="left"/>
    </xf>
    <xf numFmtId="37" fontId="53" fillId="0" borderId="0" xfId="0" applyNumberFormat="1" applyFont="1" applyAlignment="1">
      <alignment horizontal="center"/>
    </xf>
    <xf numFmtId="171" fontId="53" fillId="0" borderId="0" xfId="0" applyNumberFormat="1" applyFont="1" applyAlignment="1">
      <alignment horizontal="center"/>
    </xf>
    <xf numFmtId="44" fontId="53" fillId="0" borderId="0" xfId="4" applyNumberFormat="1" applyFont="1" applyAlignment="1">
      <alignment horizontal="center"/>
    </xf>
    <xf numFmtId="44" fontId="53" fillId="0" borderId="0" xfId="4" applyNumberFormat="1" applyFont="1" applyFill="1" applyAlignment="1">
      <alignment horizontal="center"/>
    </xf>
    <xf numFmtId="44" fontId="53" fillId="0" borderId="0" xfId="0" applyNumberFormat="1" applyFont="1" applyAlignment="1">
      <alignment horizontal="center"/>
    </xf>
    <xf numFmtId="37" fontId="53" fillId="0" borderId="0" xfId="0" applyNumberFormat="1" applyFont="1" applyFill="1" applyAlignment="1">
      <alignment horizontal="center"/>
    </xf>
    <xf numFmtId="171" fontId="53" fillId="0" borderId="0" xfId="0" applyNumberFormat="1" applyFont="1" applyFill="1" applyAlignment="1">
      <alignment horizontal="center"/>
    </xf>
    <xf numFmtId="1" fontId="53" fillId="0" borderId="0" xfId="0" applyNumberFormat="1" applyFont="1" applyFill="1" applyAlignment="1">
      <alignment horizontal="center"/>
    </xf>
    <xf numFmtId="44" fontId="53" fillId="0" borderId="0" xfId="4" applyFont="1" applyAlignment="1">
      <alignment horizontal="center"/>
    </xf>
    <xf numFmtId="37" fontId="53" fillId="0" borderId="0" xfId="0" applyNumberFormat="1" applyFont="1"/>
    <xf numFmtId="165" fontId="53" fillId="0" borderId="0" xfId="4" applyNumberFormat="1" applyFont="1" applyFill="1"/>
    <xf numFmtId="0" fontId="53" fillId="0" borderId="0" xfId="0" applyFont="1" applyAlignment="1">
      <alignment horizontal="right"/>
    </xf>
    <xf numFmtId="41" fontId="59" fillId="0" borderId="0" xfId="848" applyFont="1" applyFill="1"/>
    <xf numFmtId="41" fontId="58" fillId="0" borderId="0" xfId="848" applyFont="1" applyFill="1"/>
    <xf numFmtId="164" fontId="53" fillId="0" borderId="0" xfId="9" applyNumberFormat="1" applyFont="1"/>
    <xf numFmtId="0" fontId="53" fillId="0" borderId="0" xfId="0" applyFont="1" applyAlignment="1">
      <alignment horizontal="left" indent="1"/>
    </xf>
    <xf numFmtId="164" fontId="53" fillId="0" borderId="0" xfId="9" applyNumberFormat="1" applyFont="1" applyFill="1"/>
    <xf numFmtId="164" fontId="64" fillId="0" borderId="0" xfId="9" applyNumberFormat="1" applyFont="1"/>
    <xf numFmtId="0" fontId="53" fillId="0" borderId="0" xfId="0" applyFont="1" applyAlignment="1">
      <alignment horizontal="left"/>
    </xf>
    <xf numFmtId="164" fontId="65" fillId="0" borderId="0" xfId="9" applyNumberFormat="1" applyFont="1"/>
    <xf numFmtId="164" fontId="66" fillId="0" borderId="0" xfId="9" applyNumberFormat="1" applyFont="1"/>
    <xf numFmtId="165" fontId="66" fillId="0" borderId="0" xfId="0" applyNumberFormat="1" applyFont="1"/>
    <xf numFmtId="37" fontId="53" fillId="56" borderId="0" xfId="0" applyNumberFormat="1" applyFont="1" applyFill="1"/>
    <xf numFmtId="0" fontId="53" fillId="56" borderId="0" xfId="0" applyFont="1" applyFill="1"/>
    <xf numFmtId="37" fontId="53" fillId="0" borderId="0" xfId="0" applyNumberFormat="1" applyFont="1" applyFill="1"/>
    <xf numFmtId="165" fontId="64" fillId="0" borderId="0" xfId="4" applyNumberFormat="1" applyFont="1"/>
    <xf numFmtId="0" fontId="53" fillId="0" borderId="0" xfId="0" quotePrefix="1" applyFont="1" applyAlignment="1">
      <alignment horizontal="left"/>
    </xf>
    <xf numFmtId="165" fontId="66" fillId="0" borderId="0" xfId="4" applyNumberFormat="1" applyFont="1"/>
    <xf numFmtId="165" fontId="59" fillId="0" borderId="0" xfId="4" applyNumberFormat="1" applyFont="1" applyFill="1"/>
    <xf numFmtId="165" fontId="59" fillId="0" borderId="0" xfId="4" applyNumberFormat="1" applyFont="1" applyFill="1" applyBorder="1"/>
    <xf numFmtId="41" fontId="59" fillId="0" borderId="0" xfId="848" quotePrefix="1" applyFont="1" applyAlignment="1">
      <alignment horizontal="left" indent="1"/>
    </xf>
    <xf numFmtId="164" fontId="59" fillId="0" borderId="0" xfId="3" applyNumberFormat="1" applyFont="1" applyFill="1"/>
    <xf numFmtId="176" fontId="58" fillId="0" borderId="0" xfId="0" applyNumberFormat="1" applyFont="1" applyFill="1"/>
    <xf numFmtId="165" fontId="53" fillId="0" borderId="0" xfId="846" applyNumberFormat="1" applyFont="1" applyFill="1" applyAlignment="1">
      <alignment horizontal="center"/>
    </xf>
    <xf numFmtId="41" fontId="53" fillId="0" borderId="0" xfId="0" applyNumberFormat="1" applyFont="1" applyFill="1" applyAlignment="1">
      <alignment horizontal="left" indent="1"/>
    </xf>
    <xf numFmtId="179" fontId="53" fillId="0" borderId="0" xfId="0" applyNumberFormat="1" applyFont="1" applyAlignment="1">
      <alignment horizontal="center"/>
    </xf>
    <xf numFmtId="43" fontId="53" fillId="0" borderId="0" xfId="3" applyFont="1"/>
    <xf numFmtId="168" fontId="59" fillId="0" borderId="0" xfId="847" quotePrefix="1" applyFont="1" applyFill="1" applyBorder="1" applyAlignment="1">
      <alignment horizontal="center"/>
    </xf>
    <xf numFmtId="168" fontId="59" fillId="0" borderId="0" xfId="847" applyFont="1" applyFill="1" applyBorder="1" applyAlignment="1">
      <alignment horizontal="center"/>
    </xf>
    <xf numFmtId="44" fontId="58" fillId="0" borderId="0" xfId="4" applyFont="1" applyFill="1"/>
    <xf numFmtId="43" fontId="53" fillId="0" borderId="0" xfId="3" applyNumberFormat="1" applyFont="1"/>
    <xf numFmtId="44" fontId="0" fillId="0" borderId="0" xfId="0" applyNumberFormat="1" applyFont="1"/>
    <xf numFmtId="0" fontId="53" fillId="0" borderId="14" xfId="0" applyFont="1" applyFill="1" applyBorder="1" applyAlignment="1">
      <alignment horizontal="center" wrapText="1"/>
    </xf>
    <xf numFmtId="44" fontId="59" fillId="0" borderId="0" xfId="4" applyFont="1" applyFill="1" applyBorder="1"/>
    <xf numFmtId="10" fontId="59" fillId="0" borderId="0" xfId="8" applyNumberFormat="1" applyFont="1" applyFill="1" applyBorder="1"/>
    <xf numFmtId="164" fontId="59" fillId="0" borderId="0" xfId="0" applyNumberFormat="1" applyFont="1" applyFill="1" applyAlignment="1"/>
    <xf numFmtId="165" fontId="53" fillId="0" borderId="0" xfId="843" applyNumberFormat="1" applyFont="1" applyFill="1" applyAlignment="1">
      <alignment horizontal="center"/>
    </xf>
    <xf numFmtId="178" fontId="59" fillId="0" borderId="0" xfId="0" applyNumberFormat="1" applyFont="1" applyFill="1"/>
    <xf numFmtId="180" fontId="59" fillId="0" borderId="0" xfId="0" applyNumberFormat="1" applyFont="1" applyFill="1"/>
    <xf numFmtId="172" fontId="59" fillId="0" borderId="0" xfId="0" applyNumberFormat="1" applyFont="1" applyFill="1" applyBorder="1"/>
    <xf numFmtId="181" fontId="59" fillId="0" borderId="0" xfId="0" applyNumberFormat="1" applyFont="1" applyFill="1"/>
    <xf numFmtId="181" fontId="59" fillId="0" borderId="0" xfId="0" applyNumberFormat="1" applyFont="1" applyFill="1" applyBorder="1"/>
    <xf numFmtId="182" fontId="59" fillId="0" borderId="0" xfId="0" applyNumberFormat="1" applyFont="1" applyFill="1"/>
    <xf numFmtId="182" fontId="59" fillId="0" borderId="0" xfId="0" applyNumberFormat="1" applyFont="1" applyFill="1" applyBorder="1"/>
    <xf numFmtId="183" fontId="59" fillId="0" borderId="0" xfId="0" applyNumberFormat="1" applyFont="1" applyFill="1"/>
    <xf numFmtId="184" fontId="59" fillId="0" borderId="0" xfId="0" applyNumberFormat="1" applyFont="1" applyFill="1"/>
    <xf numFmtId="44" fontId="59" fillId="0" borderId="0" xfId="844" applyNumberFormat="1" applyFont="1" applyFill="1" applyBorder="1"/>
    <xf numFmtId="172" fontId="59" fillId="0" borderId="0" xfId="844" applyNumberFormat="1" applyFont="1" applyFill="1" applyBorder="1"/>
    <xf numFmtId="185" fontId="59" fillId="0" borderId="0" xfId="0" applyNumberFormat="1" applyFont="1" applyFill="1"/>
    <xf numFmtId="0" fontId="59" fillId="0" borderId="1" xfId="0" quotePrefix="1" applyFont="1" applyFill="1" applyBorder="1" applyAlignment="1">
      <alignment horizontal="left"/>
    </xf>
    <xf numFmtId="43" fontId="53" fillId="0" borderId="0" xfId="0" applyNumberFormat="1" applyFont="1" applyAlignment="1">
      <alignment horizontal="center"/>
    </xf>
    <xf numFmtId="172" fontId="53" fillId="0" borderId="0" xfId="0" applyNumberFormat="1" applyFont="1" applyFill="1"/>
    <xf numFmtId="44" fontId="53" fillId="0" borderId="0" xfId="4" applyNumberFormat="1" applyFont="1"/>
    <xf numFmtId="42" fontId="53" fillId="0" borderId="0" xfId="0" applyNumberFormat="1" applyFont="1" applyFill="1"/>
    <xf numFmtId="9" fontId="53" fillId="0" borderId="0" xfId="10" applyFont="1"/>
    <xf numFmtId="37" fontId="53" fillId="0" borderId="2" xfId="0" applyNumberFormat="1" applyFont="1" applyBorder="1" applyAlignment="1">
      <alignment horizontal="center"/>
    </xf>
    <xf numFmtId="171" fontId="53" fillId="0" borderId="2" xfId="0" applyNumberFormat="1" applyFont="1" applyBorder="1" applyAlignment="1">
      <alignment horizontal="center"/>
    </xf>
    <xf numFmtId="165" fontId="53" fillId="0" borderId="2" xfId="4" applyNumberFormat="1" applyFont="1" applyBorder="1"/>
    <xf numFmtId="44" fontId="53" fillId="0" borderId="2" xfId="4" applyNumberFormat="1" applyFont="1" applyBorder="1" applyAlignment="1">
      <alignment horizontal="center"/>
    </xf>
    <xf numFmtId="44" fontId="53" fillId="0" borderId="2" xfId="4" applyNumberFormat="1" applyFont="1" applyFill="1" applyBorder="1" applyAlignment="1">
      <alignment horizontal="center"/>
    </xf>
    <xf numFmtId="44" fontId="53" fillId="0" borderId="2" xfId="0" applyNumberFormat="1" applyFont="1" applyBorder="1" applyAlignment="1">
      <alignment horizontal="center"/>
    </xf>
    <xf numFmtId="10" fontId="53" fillId="0" borderId="2" xfId="10" applyNumberFormat="1" applyFont="1" applyBorder="1" applyAlignment="1">
      <alignment horizontal="center"/>
    </xf>
    <xf numFmtId="44" fontId="0" fillId="0" borderId="2" xfId="0" applyNumberFormat="1" applyFont="1" applyBorder="1"/>
    <xf numFmtId="165" fontId="53" fillId="0" borderId="2" xfId="846" applyNumberFormat="1" applyFont="1" applyFill="1" applyBorder="1" applyAlignment="1">
      <alignment horizontal="center"/>
    </xf>
    <xf numFmtId="10" fontId="53" fillId="0" borderId="2" xfId="10" applyNumberFormat="1" applyFont="1" applyFill="1" applyBorder="1" applyAlignment="1">
      <alignment horizontal="center"/>
    </xf>
    <xf numFmtId="183" fontId="59" fillId="0" borderId="0" xfId="4" applyNumberFormat="1" applyFont="1" applyFill="1"/>
    <xf numFmtId="10" fontId="59" fillId="0" borderId="0" xfId="0" applyNumberFormat="1" applyFont="1" applyFill="1"/>
    <xf numFmtId="164" fontId="69" fillId="57" borderId="0" xfId="3" applyNumberFormat="1" applyFont="1" applyFill="1"/>
    <xf numFmtId="172" fontId="69" fillId="0" borderId="0" xfId="4" applyNumberFormat="1" applyFont="1" applyFill="1"/>
    <xf numFmtId="172" fontId="69" fillId="57" borderId="0" xfId="4" applyNumberFormat="1" applyFont="1" applyFill="1"/>
    <xf numFmtId="44" fontId="69" fillId="57" borderId="0" xfId="0" applyNumberFormat="1" applyFont="1" applyFill="1"/>
    <xf numFmtId="44" fontId="69" fillId="0" borderId="0" xfId="4" applyFont="1" applyFill="1"/>
    <xf numFmtId="44" fontId="69" fillId="57" borderId="0" xfId="4" applyNumberFormat="1" applyFont="1" applyFill="1"/>
    <xf numFmtId="44" fontId="69" fillId="57" borderId="0" xfId="4" applyFont="1" applyFill="1"/>
    <xf numFmtId="0" fontId="69" fillId="0" borderId="0" xfId="0" applyFont="1"/>
    <xf numFmtId="0" fontId="69" fillId="57" borderId="0" xfId="0" applyFont="1" applyFill="1"/>
    <xf numFmtId="165" fontId="69" fillId="57" borderId="0" xfId="4" applyNumberFormat="1" applyFont="1" applyFill="1"/>
    <xf numFmtId="44" fontId="69" fillId="57" borderId="0" xfId="4" applyNumberFormat="1" applyFont="1" applyFill="1" applyBorder="1"/>
    <xf numFmtId="10" fontId="69" fillId="57" borderId="0" xfId="0" applyNumberFormat="1" applyFont="1" applyFill="1"/>
    <xf numFmtId="172" fontId="69" fillId="57" borderId="0" xfId="0" applyNumberFormat="1" applyFont="1" applyFill="1"/>
    <xf numFmtId="1" fontId="69" fillId="57" borderId="0" xfId="0" applyNumberFormat="1" applyFont="1" applyFill="1"/>
    <xf numFmtId="44" fontId="59" fillId="0" borderId="0" xfId="4" applyFont="1"/>
    <xf numFmtId="172" fontId="53" fillId="0" borderId="0" xfId="4" applyNumberFormat="1" applyFont="1" applyFill="1"/>
    <xf numFmtId="44" fontId="53" fillId="0" borderId="0" xfId="4" applyFont="1" applyFill="1"/>
    <xf numFmtId="164" fontId="53" fillId="0" borderId="0" xfId="0" applyNumberFormat="1" applyFont="1" applyFill="1"/>
    <xf numFmtId="0" fontId="55" fillId="0" borderId="0" xfId="0" applyFont="1" applyFill="1" applyAlignment="1"/>
    <xf numFmtId="43" fontId="55" fillId="0" borderId="0" xfId="0" applyNumberFormat="1" applyFont="1" applyFill="1"/>
    <xf numFmtId="41" fontId="55" fillId="0" borderId="0" xfId="0" applyNumberFormat="1" applyFont="1" applyFill="1"/>
    <xf numFmtId="41" fontId="55" fillId="0" borderId="0" xfId="0" applyNumberFormat="1" applyFont="1" applyFill="1" applyAlignment="1">
      <alignment horizontal="right"/>
    </xf>
    <xf numFmtId="41" fontId="59" fillId="0" borderId="14" xfId="848" applyFont="1" applyFill="1" applyBorder="1" applyAlignment="1">
      <alignment horizontal="center"/>
    </xf>
    <xf numFmtId="41" fontId="59" fillId="0" borderId="14" xfId="848" quotePrefix="1" applyFont="1" applyFill="1" applyBorder="1" applyAlignment="1">
      <alignment horizontal="center" wrapText="1"/>
    </xf>
    <xf numFmtId="165" fontId="59" fillId="0" borderId="14" xfId="435" quotePrefix="1" applyNumberFormat="1" applyFont="1" applyFill="1" applyBorder="1" applyAlignment="1">
      <alignment horizontal="center" wrapText="1"/>
    </xf>
    <xf numFmtId="41" fontId="59" fillId="0" borderId="0" xfId="848" quotePrefix="1" applyFont="1" applyFill="1" applyAlignment="1">
      <alignment horizontal="center"/>
    </xf>
    <xf numFmtId="41" fontId="59" fillId="0" borderId="0" xfId="848" quotePrefix="1" applyFont="1" applyFill="1" applyAlignment="1">
      <alignment horizontal="left"/>
    </xf>
    <xf numFmtId="10" fontId="59" fillId="0" borderId="0" xfId="10" applyNumberFormat="1" applyFont="1" applyFill="1" applyAlignment="1">
      <alignment horizontal="center"/>
    </xf>
    <xf numFmtId="10" fontId="59" fillId="0" borderId="0" xfId="10" applyNumberFormat="1" applyFont="1" applyFill="1" applyBorder="1" applyAlignment="1">
      <alignment horizontal="center"/>
    </xf>
    <xf numFmtId="165" fontId="59" fillId="0" borderId="3" xfId="4" applyNumberFormat="1" applyFont="1" applyFill="1" applyBorder="1"/>
    <xf numFmtId="10" fontId="59" fillId="0" borderId="3" xfId="10" applyNumberFormat="1" applyFont="1" applyFill="1" applyBorder="1" applyAlignment="1">
      <alignment horizontal="center"/>
    </xf>
    <xf numFmtId="10" fontId="53" fillId="0" borderId="0" xfId="10" applyNumberFormat="1" applyFont="1" applyFill="1"/>
    <xf numFmtId="41" fontId="59" fillId="0" borderId="0" xfId="848" quotePrefix="1" applyFont="1" applyFill="1" applyAlignment="1">
      <alignment horizontal="left" indent="1"/>
    </xf>
    <xf numFmtId="165" fontId="53" fillId="0" borderId="2" xfId="0" applyNumberFormat="1" applyFont="1" applyFill="1" applyBorder="1"/>
    <xf numFmtId="10" fontId="59" fillId="0" borderId="2" xfId="10" applyNumberFormat="1" applyFont="1" applyFill="1" applyBorder="1" applyAlignment="1">
      <alignment horizontal="center"/>
    </xf>
    <xf numFmtId="164" fontId="69" fillId="0" borderId="0" xfId="3" applyNumberFormat="1" applyFont="1" applyFill="1"/>
    <xf numFmtId="0" fontId="59" fillId="0" borderId="0" xfId="848" applyNumberFormat="1" applyFont="1" applyFill="1"/>
    <xf numFmtId="0" fontId="67" fillId="0" borderId="0" xfId="848" applyNumberFormat="1" applyFont="1" applyFill="1" applyAlignment="1">
      <alignment horizontal="center"/>
    </xf>
    <xf numFmtId="0" fontId="59" fillId="0" borderId="0" xfId="848" applyNumberFormat="1" applyFont="1" applyFill="1" applyAlignment="1">
      <alignment horizontal="left" indent="2"/>
    </xf>
    <xf numFmtId="41" fontId="69" fillId="0" borderId="0" xfId="848" applyFont="1" applyFill="1"/>
    <xf numFmtId="41" fontId="69" fillId="0" borderId="0" xfId="848" applyFont="1" applyFill="1" applyBorder="1"/>
    <xf numFmtId="41" fontId="69" fillId="0" borderId="1" xfId="848" applyFont="1" applyFill="1" applyBorder="1"/>
    <xf numFmtId="41" fontId="68" fillId="0" borderId="0" xfId="848" applyFont="1" applyFill="1"/>
    <xf numFmtId="41" fontId="5" fillId="0" borderId="0" xfId="848" applyFont="1" applyFill="1"/>
    <xf numFmtId="44" fontId="63" fillId="58" borderId="0" xfId="4" applyFont="1" applyFill="1"/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7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41" fontId="58" fillId="0" borderId="0" xfId="0" applyNumberFormat="1" applyFont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8" fillId="0" borderId="1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/>
    </xf>
  </cellXfs>
  <cellStyles count="850">
    <cellStyle name="20% - Accent1 10" xfId="13" xr:uid="{00000000-0005-0000-0000-000000000000}"/>
    <cellStyle name="20% - Accent1 11" xfId="14" xr:uid="{00000000-0005-0000-0000-000001000000}"/>
    <cellStyle name="20% - Accent1 12" xfId="15" xr:uid="{00000000-0005-0000-0000-000002000000}"/>
    <cellStyle name="20% - Accent1 13" xfId="16" xr:uid="{00000000-0005-0000-0000-000003000000}"/>
    <cellStyle name="20% - Accent1 14" xfId="17" xr:uid="{00000000-0005-0000-0000-000004000000}"/>
    <cellStyle name="20% - Accent1 15" xfId="18" xr:uid="{00000000-0005-0000-0000-000005000000}"/>
    <cellStyle name="20% - Accent1 16" xfId="19" xr:uid="{00000000-0005-0000-0000-000006000000}"/>
    <cellStyle name="20% - Accent1 2" xfId="20" xr:uid="{00000000-0005-0000-0000-000007000000}"/>
    <cellStyle name="20% - Accent1 3" xfId="21" xr:uid="{00000000-0005-0000-0000-000008000000}"/>
    <cellStyle name="20% - Accent1 4" xfId="22" xr:uid="{00000000-0005-0000-0000-000009000000}"/>
    <cellStyle name="20% - Accent1 5" xfId="23" xr:uid="{00000000-0005-0000-0000-00000A000000}"/>
    <cellStyle name="20% - Accent1 6" xfId="24" xr:uid="{00000000-0005-0000-0000-00000B000000}"/>
    <cellStyle name="20% - Accent1 7" xfId="25" xr:uid="{00000000-0005-0000-0000-00000C000000}"/>
    <cellStyle name="20% - Accent1 8" xfId="26" xr:uid="{00000000-0005-0000-0000-00000D000000}"/>
    <cellStyle name="20% - Accent1 9" xfId="27" xr:uid="{00000000-0005-0000-0000-00000E000000}"/>
    <cellStyle name="20% - Accent2 10" xfId="28" xr:uid="{00000000-0005-0000-0000-00000F000000}"/>
    <cellStyle name="20% - Accent2 11" xfId="29" xr:uid="{00000000-0005-0000-0000-000010000000}"/>
    <cellStyle name="20% - Accent2 12" xfId="30" xr:uid="{00000000-0005-0000-0000-000011000000}"/>
    <cellStyle name="20% - Accent2 13" xfId="31" xr:uid="{00000000-0005-0000-0000-000012000000}"/>
    <cellStyle name="20% - Accent2 14" xfId="32" xr:uid="{00000000-0005-0000-0000-000013000000}"/>
    <cellStyle name="20% - Accent2 15" xfId="33" xr:uid="{00000000-0005-0000-0000-000014000000}"/>
    <cellStyle name="20% - Accent2 16" xfId="34" xr:uid="{00000000-0005-0000-0000-000015000000}"/>
    <cellStyle name="20% - Accent2 2" xfId="35" xr:uid="{00000000-0005-0000-0000-000016000000}"/>
    <cellStyle name="20% - Accent2 3" xfId="36" xr:uid="{00000000-0005-0000-0000-000017000000}"/>
    <cellStyle name="20% - Accent2 4" xfId="37" xr:uid="{00000000-0005-0000-0000-000018000000}"/>
    <cellStyle name="20% - Accent2 5" xfId="38" xr:uid="{00000000-0005-0000-0000-000019000000}"/>
    <cellStyle name="20% - Accent2 6" xfId="39" xr:uid="{00000000-0005-0000-0000-00001A000000}"/>
    <cellStyle name="20% - Accent2 7" xfId="40" xr:uid="{00000000-0005-0000-0000-00001B000000}"/>
    <cellStyle name="20% - Accent2 8" xfId="41" xr:uid="{00000000-0005-0000-0000-00001C000000}"/>
    <cellStyle name="20% - Accent2 9" xfId="42" xr:uid="{00000000-0005-0000-0000-00001D000000}"/>
    <cellStyle name="20% - Accent3 10" xfId="43" xr:uid="{00000000-0005-0000-0000-00001E000000}"/>
    <cellStyle name="20% - Accent3 11" xfId="44" xr:uid="{00000000-0005-0000-0000-00001F000000}"/>
    <cellStyle name="20% - Accent3 12" xfId="45" xr:uid="{00000000-0005-0000-0000-000020000000}"/>
    <cellStyle name="20% - Accent3 13" xfId="46" xr:uid="{00000000-0005-0000-0000-000021000000}"/>
    <cellStyle name="20% - Accent3 14" xfId="47" xr:uid="{00000000-0005-0000-0000-000022000000}"/>
    <cellStyle name="20% - Accent3 15" xfId="48" xr:uid="{00000000-0005-0000-0000-000023000000}"/>
    <cellStyle name="20% - Accent3 16" xfId="49" xr:uid="{00000000-0005-0000-0000-000024000000}"/>
    <cellStyle name="20% - Accent3 2" xfId="50" xr:uid="{00000000-0005-0000-0000-000025000000}"/>
    <cellStyle name="20% - Accent3 3" xfId="51" xr:uid="{00000000-0005-0000-0000-000026000000}"/>
    <cellStyle name="20% - Accent3 4" xfId="52" xr:uid="{00000000-0005-0000-0000-000027000000}"/>
    <cellStyle name="20% - Accent3 5" xfId="53" xr:uid="{00000000-0005-0000-0000-000028000000}"/>
    <cellStyle name="20% - Accent3 6" xfId="54" xr:uid="{00000000-0005-0000-0000-000029000000}"/>
    <cellStyle name="20% - Accent3 7" xfId="55" xr:uid="{00000000-0005-0000-0000-00002A000000}"/>
    <cellStyle name="20% - Accent3 8" xfId="56" xr:uid="{00000000-0005-0000-0000-00002B000000}"/>
    <cellStyle name="20% - Accent3 9" xfId="57" xr:uid="{00000000-0005-0000-0000-00002C000000}"/>
    <cellStyle name="20% - Accent4 10" xfId="58" xr:uid="{00000000-0005-0000-0000-00002D000000}"/>
    <cellStyle name="20% - Accent4 11" xfId="59" xr:uid="{00000000-0005-0000-0000-00002E000000}"/>
    <cellStyle name="20% - Accent4 12" xfId="60" xr:uid="{00000000-0005-0000-0000-00002F000000}"/>
    <cellStyle name="20% - Accent4 13" xfId="61" xr:uid="{00000000-0005-0000-0000-000030000000}"/>
    <cellStyle name="20% - Accent4 14" xfId="62" xr:uid="{00000000-0005-0000-0000-000031000000}"/>
    <cellStyle name="20% - Accent4 15" xfId="63" xr:uid="{00000000-0005-0000-0000-000032000000}"/>
    <cellStyle name="20% - Accent4 16" xfId="64" xr:uid="{00000000-0005-0000-0000-000033000000}"/>
    <cellStyle name="20% - Accent4 2" xfId="65" xr:uid="{00000000-0005-0000-0000-000034000000}"/>
    <cellStyle name="20% - Accent4 3" xfId="66" xr:uid="{00000000-0005-0000-0000-000035000000}"/>
    <cellStyle name="20% - Accent4 4" xfId="67" xr:uid="{00000000-0005-0000-0000-000036000000}"/>
    <cellStyle name="20% - Accent4 5" xfId="68" xr:uid="{00000000-0005-0000-0000-000037000000}"/>
    <cellStyle name="20% - Accent4 6" xfId="69" xr:uid="{00000000-0005-0000-0000-000038000000}"/>
    <cellStyle name="20% - Accent4 7" xfId="70" xr:uid="{00000000-0005-0000-0000-000039000000}"/>
    <cellStyle name="20% - Accent4 8" xfId="71" xr:uid="{00000000-0005-0000-0000-00003A000000}"/>
    <cellStyle name="20% - Accent4 9" xfId="72" xr:uid="{00000000-0005-0000-0000-00003B000000}"/>
    <cellStyle name="20% - Accent5 10" xfId="73" xr:uid="{00000000-0005-0000-0000-00003C000000}"/>
    <cellStyle name="20% - Accent5 11" xfId="74" xr:uid="{00000000-0005-0000-0000-00003D000000}"/>
    <cellStyle name="20% - Accent5 12" xfId="75" xr:uid="{00000000-0005-0000-0000-00003E000000}"/>
    <cellStyle name="20% - Accent5 13" xfId="76" xr:uid="{00000000-0005-0000-0000-00003F000000}"/>
    <cellStyle name="20% - Accent5 14" xfId="77" xr:uid="{00000000-0005-0000-0000-000040000000}"/>
    <cellStyle name="20% - Accent5 15" xfId="78" xr:uid="{00000000-0005-0000-0000-000041000000}"/>
    <cellStyle name="20% - Accent5 16" xfId="79" xr:uid="{00000000-0005-0000-0000-000042000000}"/>
    <cellStyle name="20% - Accent5 2" xfId="80" xr:uid="{00000000-0005-0000-0000-000043000000}"/>
    <cellStyle name="20% - Accent5 3" xfId="81" xr:uid="{00000000-0005-0000-0000-000044000000}"/>
    <cellStyle name="20% - Accent5 4" xfId="82" xr:uid="{00000000-0005-0000-0000-000045000000}"/>
    <cellStyle name="20% - Accent5 5" xfId="83" xr:uid="{00000000-0005-0000-0000-000046000000}"/>
    <cellStyle name="20% - Accent5 6" xfId="84" xr:uid="{00000000-0005-0000-0000-000047000000}"/>
    <cellStyle name="20% - Accent5 7" xfId="85" xr:uid="{00000000-0005-0000-0000-000048000000}"/>
    <cellStyle name="20% - Accent5 8" xfId="86" xr:uid="{00000000-0005-0000-0000-000049000000}"/>
    <cellStyle name="20% - Accent5 9" xfId="87" xr:uid="{00000000-0005-0000-0000-00004A000000}"/>
    <cellStyle name="20% - Accent6 10" xfId="88" xr:uid="{00000000-0005-0000-0000-00004B000000}"/>
    <cellStyle name="20% - Accent6 11" xfId="89" xr:uid="{00000000-0005-0000-0000-00004C000000}"/>
    <cellStyle name="20% - Accent6 12" xfId="90" xr:uid="{00000000-0005-0000-0000-00004D000000}"/>
    <cellStyle name="20% - Accent6 13" xfId="91" xr:uid="{00000000-0005-0000-0000-00004E000000}"/>
    <cellStyle name="20% - Accent6 14" xfId="92" xr:uid="{00000000-0005-0000-0000-00004F000000}"/>
    <cellStyle name="20% - Accent6 15" xfId="93" xr:uid="{00000000-0005-0000-0000-000050000000}"/>
    <cellStyle name="20% - Accent6 16" xfId="94" xr:uid="{00000000-0005-0000-0000-000051000000}"/>
    <cellStyle name="20% - Accent6 2" xfId="95" xr:uid="{00000000-0005-0000-0000-000052000000}"/>
    <cellStyle name="20% - Accent6 3" xfId="96" xr:uid="{00000000-0005-0000-0000-000053000000}"/>
    <cellStyle name="20% - Accent6 4" xfId="97" xr:uid="{00000000-0005-0000-0000-000054000000}"/>
    <cellStyle name="20% - Accent6 5" xfId="98" xr:uid="{00000000-0005-0000-0000-000055000000}"/>
    <cellStyle name="20% - Accent6 6" xfId="99" xr:uid="{00000000-0005-0000-0000-000056000000}"/>
    <cellStyle name="20% - Accent6 7" xfId="100" xr:uid="{00000000-0005-0000-0000-000057000000}"/>
    <cellStyle name="20% - Accent6 8" xfId="101" xr:uid="{00000000-0005-0000-0000-000058000000}"/>
    <cellStyle name="20% - Accent6 9" xfId="102" xr:uid="{00000000-0005-0000-0000-000059000000}"/>
    <cellStyle name="40% - Accent1 10" xfId="103" xr:uid="{00000000-0005-0000-0000-00005A000000}"/>
    <cellStyle name="40% - Accent1 11" xfId="104" xr:uid="{00000000-0005-0000-0000-00005B000000}"/>
    <cellStyle name="40% - Accent1 12" xfId="105" xr:uid="{00000000-0005-0000-0000-00005C000000}"/>
    <cellStyle name="40% - Accent1 13" xfId="106" xr:uid="{00000000-0005-0000-0000-00005D000000}"/>
    <cellStyle name="40% - Accent1 14" xfId="107" xr:uid="{00000000-0005-0000-0000-00005E000000}"/>
    <cellStyle name="40% - Accent1 15" xfId="108" xr:uid="{00000000-0005-0000-0000-00005F000000}"/>
    <cellStyle name="40% - Accent1 16" xfId="109" xr:uid="{00000000-0005-0000-0000-000060000000}"/>
    <cellStyle name="40% - Accent1 2" xfId="110" xr:uid="{00000000-0005-0000-0000-000061000000}"/>
    <cellStyle name="40% - Accent1 3" xfId="111" xr:uid="{00000000-0005-0000-0000-000062000000}"/>
    <cellStyle name="40% - Accent1 4" xfId="112" xr:uid="{00000000-0005-0000-0000-000063000000}"/>
    <cellStyle name="40% - Accent1 5" xfId="113" xr:uid="{00000000-0005-0000-0000-000064000000}"/>
    <cellStyle name="40% - Accent1 6" xfId="114" xr:uid="{00000000-0005-0000-0000-000065000000}"/>
    <cellStyle name="40% - Accent1 7" xfId="115" xr:uid="{00000000-0005-0000-0000-000066000000}"/>
    <cellStyle name="40% - Accent1 8" xfId="116" xr:uid="{00000000-0005-0000-0000-000067000000}"/>
    <cellStyle name="40% - Accent1 9" xfId="117" xr:uid="{00000000-0005-0000-0000-000068000000}"/>
    <cellStyle name="40% - Accent2 10" xfId="118" xr:uid="{00000000-0005-0000-0000-000069000000}"/>
    <cellStyle name="40% - Accent2 11" xfId="119" xr:uid="{00000000-0005-0000-0000-00006A000000}"/>
    <cellStyle name="40% - Accent2 12" xfId="120" xr:uid="{00000000-0005-0000-0000-00006B000000}"/>
    <cellStyle name="40% - Accent2 13" xfId="121" xr:uid="{00000000-0005-0000-0000-00006C000000}"/>
    <cellStyle name="40% - Accent2 14" xfId="122" xr:uid="{00000000-0005-0000-0000-00006D000000}"/>
    <cellStyle name="40% - Accent2 15" xfId="123" xr:uid="{00000000-0005-0000-0000-00006E000000}"/>
    <cellStyle name="40% - Accent2 16" xfId="124" xr:uid="{00000000-0005-0000-0000-00006F000000}"/>
    <cellStyle name="40% - Accent2 2" xfId="125" xr:uid="{00000000-0005-0000-0000-000070000000}"/>
    <cellStyle name="40% - Accent2 3" xfId="126" xr:uid="{00000000-0005-0000-0000-000071000000}"/>
    <cellStyle name="40% - Accent2 4" xfId="127" xr:uid="{00000000-0005-0000-0000-000072000000}"/>
    <cellStyle name="40% - Accent2 5" xfId="128" xr:uid="{00000000-0005-0000-0000-000073000000}"/>
    <cellStyle name="40% - Accent2 6" xfId="129" xr:uid="{00000000-0005-0000-0000-000074000000}"/>
    <cellStyle name="40% - Accent2 7" xfId="130" xr:uid="{00000000-0005-0000-0000-000075000000}"/>
    <cellStyle name="40% - Accent2 8" xfId="131" xr:uid="{00000000-0005-0000-0000-000076000000}"/>
    <cellStyle name="40% - Accent2 9" xfId="132" xr:uid="{00000000-0005-0000-0000-000077000000}"/>
    <cellStyle name="40% - Accent3 10" xfId="133" xr:uid="{00000000-0005-0000-0000-000078000000}"/>
    <cellStyle name="40% - Accent3 11" xfId="134" xr:uid="{00000000-0005-0000-0000-000079000000}"/>
    <cellStyle name="40% - Accent3 12" xfId="135" xr:uid="{00000000-0005-0000-0000-00007A000000}"/>
    <cellStyle name="40% - Accent3 13" xfId="136" xr:uid="{00000000-0005-0000-0000-00007B000000}"/>
    <cellStyle name="40% - Accent3 14" xfId="137" xr:uid="{00000000-0005-0000-0000-00007C000000}"/>
    <cellStyle name="40% - Accent3 15" xfId="138" xr:uid="{00000000-0005-0000-0000-00007D000000}"/>
    <cellStyle name="40% - Accent3 16" xfId="139" xr:uid="{00000000-0005-0000-0000-00007E000000}"/>
    <cellStyle name="40% - Accent3 2" xfId="140" xr:uid="{00000000-0005-0000-0000-00007F000000}"/>
    <cellStyle name="40% - Accent3 3" xfId="141" xr:uid="{00000000-0005-0000-0000-000080000000}"/>
    <cellStyle name="40% - Accent3 4" xfId="142" xr:uid="{00000000-0005-0000-0000-000081000000}"/>
    <cellStyle name="40% - Accent3 5" xfId="143" xr:uid="{00000000-0005-0000-0000-000082000000}"/>
    <cellStyle name="40% - Accent3 6" xfId="144" xr:uid="{00000000-0005-0000-0000-000083000000}"/>
    <cellStyle name="40% - Accent3 7" xfId="145" xr:uid="{00000000-0005-0000-0000-000084000000}"/>
    <cellStyle name="40% - Accent3 8" xfId="146" xr:uid="{00000000-0005-0000-0000-000085000000}"/>
    <cellStyle name="40% - Accent3 9" xfId="147" xr:uid="{00000000-0005-0000-0000-000086000000}"/>
    <cellStyle name="40% - Accent4 10" xfId="148" xr:uid="{00000000-0005-0000-0000-000087000000}"/>
    <cellStyle name="40% - Accent4 11" xfId="149" xr:uid="{00000000-0005-0000-0000-000088000000}"/>
    <cellStyle name="40% - Accent4 12" xfId="150" xr:uid="{00000000-0005-0000-0000-000089000000}"/>
    <cellStyle name="40% - Accent4 13" xfId="151" xr:uid="{00000000-0005-0000-0000-00008A000000}"/>
    <cellStyle name="40% - Accent4 14" xfId="152" xr:uid="{00000000-0005-0000-0000-00008B000000}"/>
    <cellStyle name="40% - Accent4 15" xfId="153" xr:uid="{00000000-0005-0000-0000-00008C000000}"/>
    <cellStyle name="40% - Accent4 16" xfId="154" xr:uid="{00000000-0005-0000-0000-00008D000000}"/>
    <cellStyle name="40% - Accent4 2" xfId="155" xr:uid="{00000000-0005-0000-0000-00008E000000}"/>
    <cellStyle name="40% - Accent4 3" xfId="156" xr:uid="{00000000-0005-0000-0000-00008F000000}"/>
    <cellStyle name="40% - Accent4 4" xfId="157" xr:uid="{00000000-0005-0000-0000-000090000000}"/>
    <cellStyle name="40% - Accent4 5" xfId="158" xr:uid="{00000000-0005-0000-0000-000091000000}"/>
    <cellStyle name="40% - Accent4 6" xfId="159" xr:uid="{00000000-0005-0000-0000-000092000000}"/>
    <cellStyle name="40% - Accent4 7" xfId="160" xr:uid="{00000000-0005-0000-0000-000093000000}"/>
    <cellStyle name="40% - Accent4 8" xfId="161" xr:uid="{00000000-0005-0000-0000-000094000000}"/>
    <cellStyle name="40% - Accent4 9" xfId="162" xr:uid="{00000000-0005-0000-0000-000095000000}"/>
    <cellStyle name="40% - Accent5 10" xfId="163" xr:uid="{00000000-0005-0000-0000-000096000000}"/>
    <cellStyle name="40% - Accent5 11" xfId="164" xr:uid="{00000000-0005-0000-0000-000097000000}"/>
    <cellStyle name="40% - Accent5 12" xfId="165" xr:uid="{00000000-0005-0000-0000-000098000000}"/>
    <cellStyle name="40% - Accent5 13" xfId="166" xr:uid="{00000000-0005-0000-0000-000099000000}"/>
    <cellStyle name="40% - Accent5 14" xfId="167" xr:uid="{00000000-0005-0000-0000-00009A000000}"/>
    <cellStyle name="40% - Accent5 15" xfId="168" xr:uid="{00000000-0005-0000-0000-00009B000000}"/>
    <cellStyle name="40% - Accent5 16" xfId="169" xr:uid="{00000000-0005-0000-0000-00009C000000}"/>
    <cellStyle name="40% - Accent5 2" xfId="170" xr:uid="{00000000-0005-0000-0000-00009D000000}"/>
    <cellStyle name="40% - Accent5 3" xfId="171" xr:uid="{00000000-0005-0000-0000-00009E000000}"/>
    <cellStyle name="40% - Accent5 4" xfId="172" xr:uid="{00000000-0005-0000-0000-00009F000000}"/>
    <cellStyle name="40% - Accent5 5" xfId="173" xr:uid="{00000000-0005-0000-0000-0000A0000000}"/>
    <cellStyle name="40% - Accent5 6" xfId="174" xr:uid="{00000000-0005-0000-0000-0000A1000000}"/>
    <cellStyle name="40% - Accent5 7" xfId="175" xr:uid="{00000000-0005-0000-0000-0000A2000000}"/>
    <cellStyle name="40% - Accent5 8" xfId="176" xr:uid="{00000000-0005-0000-0000-0000A3000000}"/>
    <cellStyle name="40% - Accent5 9" xfId="177" xr:uid="{00000000-0005-0000-0000-0000A4000000}"/>
    <cellStyle name="40% - Accent6 10" xfId="178" xr:uid="{00000000-0005-0000-0000-0000A5000000}"/>
    <cellStyle name="40% - Accent6 11" xfId="179" xr:uid="{00000000-0005-0000-0000-0000A6000000}"/>
    <cellStyle name="40% - Accent6 12" xfId="180" xr:uid="{00000000-0005-0000-0000-0000A7000000}"/>
    <cellStyle name="40% - Accent6 13" xfId="181" xr:uid="{00000000-0005-0000-0000-0000A8000000}"/>
    <cellStyle name="40% - Accent6 14" xfId="182" xr:uid="{00000000-0005-0000-0000-0000A9000000}"/>
    <cellStyle name="40% - Accent6 15" xfId="183" xr:uid="{00000000-0005-0000-0000-0000AA000000}"/>
    <cellStyle name="40% - Accent6 16" xfId="184" xr:uid="{00000000-0005-0000-0000-0000AB000000}"/>
    <cellStyle name="40% - Accent6 2" xfId="185" xr:uid="{00000000-0005-0000-0000-0000AC000000}"/>
    <cellStyle name="40% - Accent6 3" xfId="186" xr:uid="{00000000-0005-0000-0000-0000AD000000}"/>
    <cellStyle name="40% - Accent6 4" xfId="187" xr:uid="{00000000-0005-0000-0000-0000AE000000}"/>
    <cellStyle name="40% - Accent6 5" xfId="188" xr:uid="{00000000-0005-0000-0000-0000AF000000}"/>
    <cellStyle name="40% - Accent6 6" xfId="189" xr:uid="{00000000-0005-0000-0000-0000B0000000}"/>
    <cellStyle name="40% - Accent6 7" xfId="190" xr:uid="{00000000-0005-0000-0000-0000B1000000}"/>
    <cellStyle name="40% - Accent6 8" xfId="191" xr:uid="{00000000-0005-0000-0000-0000B2000000}"/>
    <cellStyle name="40% - Accent6 9" xfId="192" xr:uid="{00000000-0005-0000-0000-0000B3000000}"/>
    <cellStyle name="60% - Accent1 10" xfId="193" xr:uid="{00000000-0005-0000-0000-0000B4000000}"/>
    <cellStyle name="60% - Accent1 11" xfId="194" xr:uid="{00000000-0005-0000-0000-0000B5000000}"/>
    <cellStyle name="60% - Accent1 12" xfId="195" xr:uid="{00000000-0005-0000-0000-0000B6000000}"/>
    <cellStyle name="60% - Accent1 13" xfId="196" xr:uid="{00000000-0005-0000-0000-0000B7000000}"/>
    <cellStyle name="60% - Accent1 14" xfId="197" xr:uid="{00000000-0005-0000-0000-0000B8000000}"/>
    <cellStyle name="60% - Accent1 15" xfId="198" xr:uid="{00000000-0005-0000-0000-0000B9000000}"/>
    <cellStyle name="60% - Accent1 16" xfId="199" xr:uid="{00000000-0005-0000-0000-0000BA000000}"/>
    <cellStyle name="60% - Accent1 2" xfId="200" xr:uid="{00000000-0005-0000-0000-0000BB000000}"/>
    <cellStyle name="60% - Accent1 3" xfId="201" xr:uid="{00000000-0005-0000-0000-0000BC000000}"/>
    <cellStyle name="60% - Accent1 4" xfId="202" xr:uid="{00000000-0005-0000-0000-0000BD000000}"/>
    <cellStyle name="60% - Accent1 5" xfId="203" xr:uid="{00000000-0005-0000-0000-0000BE000000}"/>
    <cellStyle name="60% - Accent1 6" xfId="204" xr:uid="{00000000-0005-0000-0000-0000BF000000}"/>
    <cellStyle name="60% - Accent1 7" xfId="205" xr:uid="{00000000-0005-0000-0000-0000C0000000}"/>
    <cellStyle name="60% - Accent1 8" xfId="206" xr:uid="{00000000-0005-0000-0000-0000C1000000}"/>
    <cellStyle name="60% - Accent1 9" xfId="207" xr:uid="{00000000-0005-0000-0000-0000C2000000}"/>
    <cellStyle name="60% - Accent2 10" xfId="208" xr:uid="{00000000-0005-0000-0000-0000C3000000}"/>
    <cellStyle name="60% - Accent2 11" xfId="209" xr:uid="{00000000-0005-0000-0000-0000C4000000}"/>
    <cellStyle name="60% - Accent2 12" xfId="210" xr:uid="{00000000-0005-0000-0000-0000C5000000}"/>
    <cellStyle name="60% - Accent2 13" xfId="211" xr:uid="{00000000-0005-0000-0000-0000C6000000}"/>
    <cellStyle name="60% - Accent2 14" xfId="212" xr:uid="{00000000-0005-0000-0000-0000C7000000}"/>
    <cellStyle name="60% - Accent2 15" xfId="213" xr:uid="{00000000-0005-0000-0000-0000C8000000}"/>
    <cellStyle name="60% - Accent2 16" xfId="214" xr:uid="{00000000-0005-0000-0000-0000C9000000}"/>
    <cellStyle name="60% - Accent2 2" xfId="215" xr:uid="{00000000-0005-0000-0000-0000CA000000}"/>
    <cellStyle name="60% - Accent2 3" xfId="216" xr:uid="{00000000-0005-0000-0000-0000CB000000}"/>
    <cellStyle name="60% - Accent2 4" xfId="217" xr:uid="{00000000-0005-0000-0000-0000CC000000}"/>
    <cellStyle name="60% - Accent2 5" xfId="218" xr:uid="{00000000-0005-0000-0000-0000CD000000}"/>
    <cellStyle name="60% - Accent2 6" xfId="219" xr:uid="{00000000-0005-0000-0000-0000CE000000}"/>
    <cellStyle name="60% - Accent2 7" xfId="220" xr:uid="{00000000-0005-0000-0000-0000CF000000}"/>
    <cellStyle name="60% - Accent2 8" xfId="221" xr:uid="{00000000-0005-0000-0000-0000D0000000}"/>
    <cellStyle name="60% - Accent2 9" xfId="222" xr:uid="{00000000-0005-0000-0000-0000D1000000}"/>
    <cellStyle name="60% - Accent3 10" xfId="223" xr:uid="{00000000-0005-0000-0000-0000D2000000}"/>
    <cellStyle name="60% - Accent3 11" xfId="224" xr:uid="{00000000-0005-0000-0000-0000D3000000}"/>
    <cellStyle name="60% - Accent3 12" xfId="225" xr:uid="{00000000-0005-0000-0000-0000D4000000}"/>
    <cellStyle name="60% - Accent3 13" xfId="226" xr:uid="{00000000-0005-0000-0000-0000D5000000}"/>
    <cellStyle name="60% - Accent3 14" xfId="227" xr:uid="{00000000-0005-0000-0000-0000D6000000}"/>
    <cellStyle name="60% - Accent3 15" xfId="228" xr:uid="{00000000-0005-0000-0000-0000D7000000}"/>
    <cellStyle name="60% - Accent3 16" xfId="229" xr:uid="{00000000-0005-0000-0000-0000D8000000}"/>
    <cellStyle name="60% - Accent3 2" xfId="230" xr:uid="{00000000-0005-0000-0000-0000D9000000}"/>
    <cellStyle name="60% - Accent3 3" xfId="231" xr:uid="{00000000-0005-0000-0000-0000DA000000}"/>
    <cellStyle name="60% - Accent3 4" xfId="232" xr:uid="{00000000-0005-0000-0000-0000DB000000}"/>
    <cellStyle name="60% - Accent3 5" xfId="233" xr:uid="{00000000-0005-0000-0000-0000DC000000}"/>
    <cellStyle name="60% - Accent3 6" xfId="234" xr:uid="{00000000-0005-0000-0000-0000DD000000}"/>
    <cellStyle name="60% - Accent3 7" xfId="235" xr:uid="{00000000-0005-0000-0000-0000DE000000}"/>
    <cellStyle name="60% - Accent3 8" xfId="236" xr:uid="{00000000-0005-0000-0000-0000DF000000}"/>
    <cellStyle name="60% - Accent3 9" xfId="237" xr:uid="{00000000-0005-0000-0000-0000E0000000}"/>
    <cellStyle name="60% - Accent4 10" xfId="238" xr:uid="{00000000-0005-0000-0000-0000E1000000}"/>
    <cellStyle name="60% - Accent4 11" xfId="239" xr:uid="{00000000-0005-0000-0000-0000E2000000}"/>
    <cellStyle name="60% - Accent4 12" xfId="240" xr:uid="{00000000-0005-0000-0000-0000E3000000}"/>
    <cellStyle name="60% - Accent4 13" xfId="241" xr:uid="{00000000-0005-0000-0000-0000E4000000}"/>
    <cellStyle name="60% - Accent4 14" xfId="242" xr:uid="{00000000-0005-0000-0000-0000E5000000}"/>
    <cellStyle name="60% - Accent4 15" xfId="243" xr:uid="{00000000-0005-0000-0000-0000E6000000}"/>
    <cellStyle name="60% - Accent4 16" xfId="244" xr:uid="{00000000-0005-0000-0000-0000E7000000}"/>
    <cellStyle name="60% - Accent4 2" xfId="245" xr:uid="{00000000-0005-0000-0000-0000E8000000}"/>
    <cellStyle name="60% - Accent4 3" xfId="246" xr:uid="{00000000-0005-0000-0000-0000E9000000}"/>
    <cellStyle name="60% - Accent4 4" xfId="247" xr:uid="{00000000-0005-0000-0000-0000EA000000}"/>
    <cellStyle name="60% - Accent4 5" xfId="248" xr:uid="{00000000-0005-0000-0000-0000EB000000}"/>
    <cellStyle name="60% - Accent4 6" xfId="249" xr:uid="{00000000-0005-0000-0000-0000EC000000}"/>
    <cellStyle name="60% - Accent4 7" xfId="250" xr:uid="{00000000-0005-0000-0000-0000ED000000}"/>
    <cellStyle name="60% - Accent4 8" xfId="251" xr:uid="{00000000-0005-0000-0000-0000EE000000}"/>
    <cellStyle name="60% - Accent4 9" xfId="252" xr:uid="{00000000-0005-0000-0000-0000EF000000}"/>
    <cellStyle name="60% - Accent5 10" xfId="253" xr:uid="{00000000-0005-0000-0000-0000F0000000}"/>
    <cellStyle name="60% - Accent5 11" xfId="254" xr:uid="{00000000-0005-0000-0000-0000F1000000}"/>
    <cellStyle name="60% - Accent5 12" xfId="255" xr:uid="{00000000-0005-0000-0000-0000F2000000}"/>
    <cellStyle name="60% - Accent5 13" xfId="256" xr:uid="{00000000-0005-0000-0000-0000F3000000}"/>
    <cellStyle name="60% - Accent5 14" xfId="257" xr:uid="{00000000-0005-0000-0000-0000F4000000}"/>
    <cellStyle name="60% - Accent5 15" xfId="258" xr:uid="{00000000-0005-0000-0000-0000F5000000}"/>
    <cellStyle name="60% - Accent5 16" xfId="259" xr:uid="{00000000-0005-0000-0000-0000F6000000}"/>
    <cellStyle name="60% - Accent5 2" xfId="260" xr:uid="{00000000-0005-0000-0000-0000F7000000}"/>
    <cellStyle name="60% - Accent5 3" xfId="261" xr:uid="{00000000-0005-0000-0000-0000F8000000}"/>
    <cellStyle name="60% - Accent5 4" xfId="262" xr:uid="{00000000-0005-0000-0000-0000F9000000}"/>
    <cellStyle name="60% - Accent5 5" xfId="263" xr:uid="{00000000-0005-0000-0000-0000FA000000}"/>
    <cellStyle name="60% - Accent5 6" xfId="264" xr:uid="{00000000-0005-0000-0000-0000FB000000}"/>
    <cellStyle name="60% - Accent5 7" xfId="265" xr:uid="{00000000-0005-0000-0000-0000FC000000}"/>
    <cellStyle name="60% - Accent5 8" xfId="266" xr:uid="{00000000-0005-0000-0000-0000FD000000}"/>
    <cellStyle name="60% - Accent5 9" xfId="267" xr:uid="{00000000-0005-0000-0000-0000FE000000}"/>
    <cellStyle name="60% - Accent6 10" xfId="268" xr:uid="{00000000-0005-0000-0000-0000FF000000}"/>
    <cellStyle name="60% - Accent6 11" xfId="269" xr:uid="{00000000-0005-0000-0000-000000010000}"/>
    <cellStyle name="60% - Accent6 12" xfId="270" xr:uid="{00000000-0005-0000-0000-000001010000}"/>
    <cellStyle name="60% - Accent6 13" xfId="271" xr:uid="{00000000-0005-0000-0000-000002010000}"/>
    <cellStyle name="60% - Accent6 14" xfId="272" xr:uid="{00000000-0005-0000-0000-000003010000}"/>
    <cellStyle name="60% - Accent6 15" xfId="273" xr:uid="{00000000-0005-0000-0000-000004010000}"/>
    <cellStyle name="60% - Accent6 16" xfId="274" xr:uid="{00000000-0005-0000-0000-000005010000}"/>
    <cellStyle name="60% - Accent6 2" xfId="275" xr:uid="{00000000-0005-0000-0000-000006010000}"/>
    <cellStyle name="60% - Accent6 3" xfId="276" xr:uid="{00000000-0005-0000-0000-000007010000}"/>
    <cellStyle name="60% - Accent6 4" xfId="277" xr:uid="{00000000-0005-0000-0000-000008010000}"/>
    <cellStyle name="60% - Accent6 5" xfId="278" xr:uid="{00000000-0005-0000-0000-000009010000}"/>
    <cellStyle name="60% - Accent6 6" xfId="279" xr:uid="{00000000-0005-0000-0000-00000A010000}"/>
    <cellStyle name="60% - Accent6 7" xfId="280" xr:uid="{00000000-0005-0000-0000-00000B010000}"/>
    <cellStyle name="60% - Accent6 8" xfId="281" xr:uid="{00000000-0005-0000-0000-00000C010000}"/>
    <cellStyle name="60% - Accent6 9" xfId="282" xr:uid="{00000000-0005-0000-0000-00000D010000}"/>
    <cellStyle name="Accent1 10" xfId="283" xr:uid="{00000000-0005-0000-0000-00000E010000}"/>
    <cellStyle name="Accent1 11" xfId="284" xr:uid="{00000000-0005-0000-0000-00000F010000}"/>
    <cellStyle name="Accent1 12" xfId="285" xr:uid="{00000000-0005-0000-0000-000010010000}"/>
    <cellStyle name="Accent1 13" xfId="286" xr:uid="{00000000-0005-0000-0000-000011010000}"/>
    <cellStyle name="Accent1 14" xfId="287" xr:uid="{00000000-0005-0000-0000-000012010000}"/>
    <cellStyle name="Accent1 15" xfId="288" xr:uid="{00000000-0005-0000-0000-000013010000}"/>
    <cellStyle name="Accent1 16" xfId="289" xr:uid="{00000000-0005-0000-0000-000014010000}"/>
    <cellStyle name="Accent1 2" xfId="290" xr:uid="{00000000-0005-0000-0000-000015010000}"/>
    <cellStyle name="Accent1 3" xfId="291" xr:uid="{00000000-0005-0000-0000-000016010000}"/>
    <cellStyle name="Accent1 4" xfId="292" xr:uid="{00000000-0005-0000-0000-000017010000}"/>
    <cellStyle name="Accent1 5" xfId="293" xr:uid="{00000000-0005-0000-0000-000018010000}"/>
    <cellStyle name="Accent1 6" xfId="294" xr:uid="{00000000-0005-0000-0000-000019010000}"/>
    <cellStyle name="Accent1 7" xfId="295" xr:uid="{00000000-0005-0000-0000-00001A010000}"/>
    <cellStyle name="Accent1 8" xfId="296" xr:uid="{00000000-0005-0000-0000-00001B010000}"/>
    <cellStyle name="Accent1 9" xfId="297" xr:uid="{00000000-0005-0000-0000-00001C010000}"/>
    <cellStyle name="Accent2 10" xfId="298" xr:uid="{00000000-0005-0000-0000-00001D010000}"/>
    <cellStyle name="Accent2 11" xfId="299" xr:uid="{00000000-0005-0000-0000-00001E010000}"/>
    <cellStyle name="Accent2 12" xfId="300" xr:uid="{00000000-0005-0000-0000-00001F010000}"/>
    <cellStyle name="Accent2 13" xfId="301" xr:uid="{00000000-0005-0000-0000-000020010000}"/>
    <cellStyle name="Accent2 14" xfId="302" xr:uid="{00000000-0005-0000-0000-000021010000}"/>
    <cellStyle name="Accent2 15" xfId="303" xr:uid="{00000000-0005-0000-0000-000022010000}"/>
    <cellStyle name="Accent2 16" xfId="304" xr:uid="{00000000-0005-0000-0000-000023010000}"/>
    <cellStyle name="Accent2 2" xfId="305" xr:uid="{00000000-0005-0000-0000-000024010000}"/>
    <cellStyle name="Accent2 3" xfId="306" xr:uid="{00000000-0005-0000-0000-000025010000}"/>
    <cellStyle name="Accent2 4" xfId="307" xr:uid="{00000000-0005-0000-0000-000026010000}"/>
    <cellStyle name="Accent2 5" xfId="308" xr:uid="{00000000-0005-0000-0000-000027010000}"/>
    <cellStyle name="Accent2 6" xfId="309" xr:uid="{00000000-0005-0000-0000-000028010000}"/>
    <cellStyle name="Accent2 7" xfId="310" xr:uid="{00000000-0005-0000-0000-000029010000}"/>
    <cellStyle name="Accent2 8" xfId="311" xr:uid="{00000000-0005-0000-0000-00002A010000}"/>
    <cellStyle name="Accent2 9" xfId="312" xr:uid="{00000000-0005-0000-0000-00002B010000}"/>
    <cellStyle name="Accent3 10" xfId="313" xr:uid="{00000000-0005-0000-0000-00002C010000}"/>
    <cellStyle name="Accent3 11" xfId="314" xr:uid="{00000000-0005-0000-0000-00002D010000}"/>
    <cellStyle name="Accent3 12" xfId="315" xr:uid="{00000000-0005-0000-0000-00002E010000}"/>
    <cellStyle name="Accent3 13" xfId="316" xr:uid="{00000000-0005-0000-0000-00002F010000}"/>
    <cellStyle name="Accent3 14" xfId="317" xr:uid="{00000000-0005-0000-0000-000030010000}"/>
    <cellStyle name="Accent3 15" xfId="318" xr:uid="{00000000-0005-0000-0000-000031010000}"/>
    <cellStyle name="Accent3 16" xfId="319" xr:uid="{00000000-0005-0000-0000-000032010000}"/>
    <cellStyle name="Accent3 2" xfId="320" xr:uid="{00000000-0005-0000-0000-000033010000}"/>
    <cellStyle name="Accent3 3" xfId="321" xr:uid="{00000000-0005-0000-0000-000034010000}"/>
    <cellStyle name="Accent3 4" xfId="322" xr:uid="{00000000-0005-0000-0000-000035010000}"/>
    <cellStyle name="Accent3 5" xfId="323" xr:uid="{00000000-0005-0000-0000-000036010000}"/>
    <cellStyle name="Accent3 6" xfId="324" xr:uid="{00000000-0005-0000-0000-000037010000}"/>
    <cellStyle name="Accent3 7" xfId="325" xr:uid="{00000000-0005-0000-0000-000038010000}"/>
    <cellStyle name="Accent3 8" xfId="326" xr:uid="{00000000-0005-0000-0000-000039010000}"/>
    <cellStyle name="Accent3 9" xfId="327" xr:uid="{00000000-0005-0000-0000-00003A010000}"/>
    <cellStyle name="Accent4 10" xfId="328" xr:uid="{00000000-0005-0000-0000-00003B010000}"/>
    <cellStyle name="Accent4 11" xfId="329" xr:uid="{00000000-0005-0000-0000-00003C010000}"/>
    <cellStyle name="Accent4 12" xfId="330" xr:uid="{00000000-0005-0000-0000-00003D010000}"/>
    <cellStyle name="Accent4 13" xfId="331" xr:uid="{00000000-0005-0000-0000-00003E010000}"/>
    <cellStyle name="Accent4 14" xfId="332" xr:uid="{00000000-0005-0000-0000-00003F010000}"/>
    <cellStyle name="Accent4 15" xfId="333" xr:uid="{00000000-0005-0000-0000-000040010000}"/>
    <cellStyle name="Accent4 16" xfId="334" xr:uid="{00000000-0005-0000-0000-000041010000}"/>
    <cellStyle name="Accent4 2" xfId="335" xr:uid="{00000000-0005-0000-0000-000042010000}"/>
    <cellStyle name="Accent4 3" xfId="336" xr:uid="{00000000-0005-0000-0000-000043010000}"/>
    <cellStyle name="Accent4 4" xfId="337" xr:uid="{00000000-0005-0000-0000-000044010000}"/>
    <cellStyle name="Accent4 5" xfId="338" xr:uid="{00000000-0005-0000-0000-000045010000}"/>
    <cellStyle name="Accent4 6" xfId="339" xr:uid="{00000000-0005-0000-0000-000046010000}"/>
    <cellStyle name="Accent4 7" xfId="340" xr:uid="{00000000-0005-0000-0000-000047010000}"/>
    <cellStyle name="Accent4 8" xfId="341" xr:uid="{00000000-0005-0000-0000-000048010000}"/>
    <cellStyle name="Accent4 9" xfId="342" xr:uid="{00000000-0005-0000-0000-000049010000}"/>
    <cellStyle name="Accent5 10" xfId="343" xr:uid="{00000000-0005-0000-0000-00004A010000}"/>
    <cellStyle name="Accent5 11" xfId="344" xr:uid="{00000000-0005-0000-0000-00004B010000}"/>
    <cellStyle name="Accent5 12" xfId="345" xr:uid="{00000000-0005-0000-0000-00004C010000}"/>
    <cellStyle name="Accent5 13" xfId="346" xr:uid="{00000000-0005-0000-0000-00004D010000}"/>
    <cellStyle name="Accent5 14" xfId="347" xr:uid="{00000000-0005-0000-0000-00004E010000}"/>
    <cellStyle name="Accent5 15" xfId="348" xr:uid="{00000000-0005-0000-0000-00004F010000}"/>
    <cellStyle name="Accent5 16" xfId="349" xr:uid="{00000000-0005-0000-0000-000050010000}"/>
    <cellStyle name="Accent5 2" xfId="350" xr:uid="{00000000-0005-0000-0000-000051010000}"/>
    <cellStyle name="Accent5 3" xfId="351" xr:uid="{00000000-0005-0000-0000-000052010000}"/>
    <cellStyle name="Accent5 4" xfId="352" xr:uid="{00000000-0005-0000-0000-000053010000}"/>
    <cellStyle name="Accent5 5" xfId="353" xr:uid="{00000000-0005-0000-0000-000054010000}"/>
    <cellStyle name="Accent5 6" xfId="354" xr:uid="{00000000-0005-0000-0000-000055010000}"/>
    <cellStyle name="Accent5 7" xfId="355" xr:uid="{00000000-0005-0000-0000-000056010000}"/>
    <cellStyle name="Accent5 8" xfId="356" xr:uid="{00000000-0005-0000-0000-000057010000}"/>
    <cellStyle name="Accent5 9" xfId="357" xr:uid="{00000000-0005-0000-0000-000058010000}"/>
    <cellStyle name="Accent6 10" xfId="358" xr:uid="{00000000-0005-0000-0000-000059010000}"/>
    <cellStyle name="Accent6 11" xfId="359" xr:uid="{00000000-0005-0000-0000-00005A010000}"/>
    <cellStyle name="Accent6 12" xfId="360" xr:uid="{00000000-0005-0000-0000-00005B010000}"/>
    <cellStyle name="Accent6 13" xfId="361" xr:uid="{00000000-0005-0000-0000-00005C010000}"/>
    <cellStyle name="Accent6 14" xfId="362" xr:uid="{00000000-0005-0000-0000-00005D010000}"/>
    <cellStyle name="Accent6 15" xfId="363" xr:uid="{00000000-0005-0000-0000-00005E010000}"/>
    <cellStyle name="Accent6 16" xfId="364" xr:uid="{00000000-0005-0000-0000-00005F010000}"/>
    <cellStyle name="Accent6 2" xfId="365" xr:uid="{00000000-0005-0000-0000-000060010000}"/>
    <cellStyle name="Accent6 3" xfId="366" xr:uid="{00000000-0005-0000-0000-000061010000}"/>
    <cellStyle name="Accent6 4" xfId="367" xr:uid="{00000000-0005-0000-0000-000062010000}"/>
    <cellStyle name="Accent6 5" xfId="368" xr:uid="{00000000-0005-0000-0000-000063010000}"/>
    <cellStyle name="Accent6 6" xfId="369" xr:uid="{00000000-0005-0000-0000-000064010000}"/>
    <cellStyle name="Accent6 7" xfId="370" xr:uid="{00000000-0005-0000-0000-000065010000}"/>
    <cellStyle name="Accent6 8" xfId="371" xr:uid="{00000000-0005-0000-0000-000066010000}"/>
    <cellStyle name="Accent6 9" xfId="372" xr:uid="{00000000-0005-0000-0000-000067010000}"/>
    <cellStyle name="Bad 10" xfId="373" xr:uid="{00000000-0005-0000-0000-000068010000}"/>
    <cellStyle name="Bad 11" xfId="374" xr:uid="{00000000-0005-0000-0000-000069010000}"/>
    <cellStyle name="Bad 12" xfId="375" xr:uid="{00000000-0005-0000-0000-00006A010000}"/>
    <cellStyle name="Bad 13" xfId="376" xr:uid="{00000000-0005-0000-0000-00006B010000}"/>
    <cellStyle name="Bad 14" xfId="377" xr:uid="{00000000-0005-0000-0000-00006C010000}"/>
    <cellStyle name="Bad 15" xfId="378" xr:uid="{00000000-0005-0000-0000-00006D010000}"/>
    <cellStyle name="Bad 16" xfId="379" xr:uid="{00000000-0005-0000-0000-00006E010000}"/>
    <cellStyle name="Bad 2" xfId="380" xr:uid="{00000000-0005-0000-0000-00006F010000}"/>
    <cellStyle name="Bad 3" xfId="381" xr:uid="{00000000-0005-0000-0000-000070010000}"/>
    <cellStyle name="Bad 4" xfId="382" xr:uid="{00000000-0005-0000-0000-000071010000}"/>
    <cellStyle name="Bad 5" xfId="383" xr:uid="{00000000-0005-0000-0000-000072010000}"/>
    <cellStyle name="Bad 6" xfId="384" xr:uid="{00000000-0005-0000-0000-000073010000}"/>
    <cellStyle name="Bad 7" xfId="385" xr:uid="{00000000-0005-0000-0000-000074010000}"/>
    <cellStyle name="Bad 8" xfId="386" xr:uid="{00000000-0005-0000-0000-000075010000}"/>
    <cellStyle name="Bad 9" xfId="387" xr:uid="{00000000-0005-0000-0000-000076010000}"/>
    <cellStyle name="Calculation 10" xfId="388" xr:uid="{00000000-0005-0000-0000-000077010000}"/>
    <cellStyle name="Calculation 11" xfId="389" xr:uid="{00000000-0005-0000-0000-000078010000}"/>
    <cellStyle name="Calculation 12" xfId="390" xr:uid="{00000000-0005-0000-0000-000079010000}"/>
    <cellStyle name="Calculation 13" xfId="391" xr:uid="{00000000-0005-0000-0000-00007A010000}"/>
    <cellStyle name="Calculation 14" xfId="392" xr:uid="{00000000-0005-0000-0000-00007B010000}"/>
    <cellStyle name="Calculation 15" xfId="393" xr:uid="{00000000-0005-0000-0000-00007C010000}"/>
    <cellStyle name="Calculation 16" xfId="394" xr:uid="{00000000-0005-0000-0000-00007D010000}"/>
    <cellStyle name="Calculation 2" xfId="395" xr:uid="{00000000-0005-0000-0000-00007E010000}"/>
    <cellStyle name="Calculation 3" xfId="396" xr:uid="{00000000-0005-0000-0000-00007F010000}"/>
    <cellStyle name="Calculation 4" xfId="397" xr:uid="{00000000-0005-0000-0000-000080010000}"/>
    <cellStyle name="Calculation 5" xfId="398" xr:uid="{00000000-0005-0000-0000-000081010000}"/>
    <cellStyle name="Calculation 6" xfId="399" xr:uid="{00000000-0005-0000-0000-000082010000}"/>
    <cellStyle name="Calculation 7" xfId="400" xr:uid="{00000000-0005-0000-0000-000083010000}"/>
    <cellStyle name="Calculation 8" xfId="401" xr:uid="{00000000-0005-0000-0000-000084010000}"/>
    <cellStyle name="Calculation 9" xfId="402" xr:uid="{00000000-0005-0000-0000-000085010000}"/>
    <cellStyle name="Check Cell 10" xfId="403" xr:uid="{00000000-0005-0000-0000-000086010000}"/>
    <cellStyle name="Check Cell 11" xfId="404" xr:uid="{00000000-0005-0000-0000-000087010000}"/>
    <cellStyle name="Check Cell 12" xfId="405" xr:uid="{00000000-0005-0000-0000-000088010000}"/>
    <cellStyle name="Check Cell 13" xfId="406" xr:uid="{00000000-0005-0000-0000-000089010000}"/>
    <cellStyle name="Check Cell 14" xfId="407" xr:uid="{00000000-0005-0000-0000-00008A010000}"/>
    <cellStyle name="Check Cell 15" xfId="408" xr:uid="{00000000-0005-0000-0000-00008B010000}"/>
    <cellStyle name="Check Cell 16" xfId="409" xr:uid="{00000000-0005-0000-0000-00008C010000}"/>
    <cellStyle name="Check Cell 2" xfId="410" xr:uid="{00000000-0005-0000-0000-00008D010000}"/>
    <cellStyle name="Check Cell 3" xfId="411" xr:uid="{00000000-0005-0000-0000-00008E010000}"/>
    <cellStyle name="Check Cell 4" xfId="412" xr:uid="{00000000-0005-0000-0000-00008F010000}"/>
    <cellStyle name="Check Cell 5" xfId="413" xr:uid="{00000000-0005-0000-0000-000090010000}"/>
    <cellStyle name="Check Cell 6" xfId="414" xr:uid="{00000000-0005-0000-0000-000091010000}"/>
    <cellStyle name="Check Cell 7" xfId="415" xr:uid="{00000000-0005-0000-0000-000092010000}"/>
    <cellStyle name="Check Cell 8" xfId="416" xr:uid="{00000000-0005-0000-0000-000093010000}"/>
    <cellStyle name="Check Cell 9" xfId="417" xr:uid="{00000000-0005-0000-0000-000094010000}"/>
    <cellStyle name="Comma" xfId="3" builtinId="3"/>
    <cellStyle name="Comma 2" xfId="1" xr:uid="{00000000-0005-0000-0000-000096010000}"/>
    <cellStyle name="Comma 2 10" xfId="418" xr:uid="{00000000-0005-0000-0000-000097010000}"/>
    <cellStyle name="Comma 2 11" xfId="419" xr:uid="{00000000-0005-0000-0000-000098010000}"/>
    <cellStyle name="Comma 2 12" xfId="420" xr:uid="{00000000-0005-0000-0000-000099010000}"/>
    <cellStyle name="Comma 2 13" xfId="421" xr:uid="{00000000-0005-0000-0000-00009A010000}"/>
    <cellStyle name="Comma 2 14" xfId="422" xr:uid="{00000000-0005-0000-0000-00009B010000}"/>
    <cellStyle name="Comma 2 2" xfId="423" xr:uid="{00000000-0005-0000-0000-00009C010000}"/>
    <cellStyle name="Comma 2 3" xfId="424" xr:uid="{00000000-0005-0000-0000-00009D010000}"/>
    <cellStyle name="Comma 2 4" xfId="425" xr:uid="{00000000-0005-0000-0000-00009E010000}"/>
    <cellStyle name="Comma 2 5" xfId="426" xr:uid="{00000000-0005-0000-0000-00009F010000}"/>
    <cellStyle name="Comma 2 6" xfId="427" xr:uid="{00000000-0005-0000-0000-0000A0010000}"/>
    <cellStyle name="Comma 2 7" xfId="428" xr:uid="{00000000-0005-0000-0000-0000A1010000}"/>
    <cellStyle name="Comma 2 8" xfId="429" xr:uid="{00000000-0005-0000-0000-0000A2010000}"/>
    <cellStyle name="Comma 2 9" xfId="430" xr:uid="{00000000-0005-0000-0000-0000A3010000}"/>
    <cellStyle name="Comma 3" xfId="431" xr:uid="{00000000-0005-0000-0000-0000A4010000}"/>
    <cellStyle name="Comma 4" xfId="432" xr:uid="{00000000-0005-0000-0000-0000A5010000}"/>
    <cellStyle name="Comma 5" xfId="433" xr:uid="{00000000-0005-0000-0000-0000A6010000}"/>
    <cellStyle name="Comma 6" xfId="9" xr:uid="{00000000-0005-0000-0000-0000A7010000}"/>
    <cellStyle name="Comma 7" xfId="843" xr:uid="{00000000-0005-0000-0000-0000A8010000}"/>
    <cellStyle name="Comma0" xfId="434" xr:uid="{00000000-0005-0000-0000-0000A9010000}"/>
    <cellStyle name="Currency" xfId="4" builtinId="4"/>
    <cellStyle name="Currency 2" xfId="6" xr:uid="{00000000-0005-0000-0000-0000AB010000}"/>
    <cellStyle name="Currency 3" xfId="435" xr:uid="{00000000-0005-0000-0000-0000AC010000}"/>
    <cellStyle name="Currency 4" xfId="436" xr:uid="{00000000-0005-0000-0000-0000AD010000}"/>
    <cellStyle name="Currency 5" xfId="846" xr:uid="{00000000-0005-0000-0000-0000AE010000}"/>
    <cellStyle name="Currency0" xfId="437" xr:uid="{00000000-0005-0000-0000-0000AF010000}"/>
    <cellStyle name="Date" xfId="438" xr:uid="{00000000-0005-0000-0000-0000B0010000}"/>
    <cellStyle name="Euro" xfId="439" xr:uid="{00000000-0005-0000-0000-0000B1010000}"/>
    <cellStyle name="Explanatory Text 10" xfId="440" xr:uid="{00000000-0005-0000-0000-0000B2010000}"/>
    <cellStyle name="Explanatory Text 11" xfId="441" xr:uid="{00000000-0005-0000-0000-0000B3010000}"/>
    <cellStyle name="Explanatory Text 12" xfId="442" xr:uid="{00000000-0005-0000-0000-0000B4010000}"/>
    <cellStyle name="Explanatory Text 13" xfId="443" xr:uid="{00000000-0005-0000-0000-0000B5010000}"/>
    <cellStyle name="Explanatory Text 14" xfId="444" xr:uid="{00000000-0005-0000-0000-0000B6010000}"/>
    <cellStyle name="Explanatory Text 15" xfId="445" xr:uid="{00000000-0005-0000-0000-0000B7010000}"/>
    <cellStyle name="Explanatory Text 16" xfId="446" xr:uid="{00000000-0005-0000-0000-0000B8010000}"/>
    <cellStyle name="Explanatory Text 2" xfId="447" xr:uid="{00000000-0005-0000-0000-0000B9010000}"/>
    <cellStyle name="Explanatory Text 3" xfId="448" xr:uid="{00000000-0005-0000-0000-0000BA010000}"/>
    <cellStyle name="Explanatory Text 4" xfId="449" xr:uid="{00000000-0005-0000-0000-0000BB010000}"/>
    <cellStyle name="Explanatory Text 5" xfId="450" xr:uid="{00000000-0005-0000-0000-0000BC010000}"/>
    <cellStyle name="Explanatory Text 6" xfId="451" xr:uid="{00000000-0005-0000-0000-0000BD010000}"/>
    <cellStyle name="Explanatory Text 7" xfId="452" xr:uid="{00000000-0005-0000-0000-0000BE010000}"/>
    <cellStyle name="Explanatory Text 8" xfId="453" xr:uid="{00000000-0005-0000-0000-0000BF010000}"/>
    <cellStyle name="Explanatory Text 9" xfId="454" xr:uid="{00000000-0005-0000-0000-0000C0010000}"/>
    <cellStyle name="F2" xfId="455" xr:uid="{00000000-0005-0000-0000-0000C1010000}"/>
    <cellStyle name="F2 2" xfId="456" xr:uid="{00000000-0005-0000-0000-0000C2010000}"/>
    <cellStyle name="F2 3" xfId="457" xr:uid="{00000000-0005-0000-0000-0000C3010000}"/>
    <cellStyle name="F2 4" xfId="458" xr:uid="{00000000-0005-0000-0000-0000C4010000}"/>
    <cellStyle name="F2 5" xfId="459" xr:uid="{00000000-0005-0000-0000-0000C5010000}"/>
    <cellStyle name="F2 6" xfId="460" xr:uid="{00000000-0005-0000-0000-0000C6010000}"/>
    <cellStyle name="F2 7" xfId="461" xr:uid="{00000000-0005-0000-0000-0000C7010000}"/>
    <cellStyle name="F2 8" xfId="462" xr:uid="{00000000-0005-0000-0000-0000C8010000}"/>
    <cellStyle name="F2 9" xfId="463" xr:uid="{00000000-0005-0000-0000-0000C9010000}"/>
    <cellStyle name="F2_Regenerated Revenues LGE Gas 2008-04 with Elec Gen-Seelye final version " xfId="464" xr:uid="{00000000-0005-0000-0000-0000CA010000}"/>
    <cellStyle name="F3" xfId="465" xr:uid="{00000000-0005-0000-0000-0000CB010000}"/>
    <cellStyle name="F3 2" xfId="466" xr:uid="{00000000-0005-0000-0000-0000CC010000}"/>
    <cellStyle name="F3 3" xfId="467" xr:uid="{00000000-0005-0000-0000-0000CD010000}"/>
    <cellStyle name="F3 4" xfId="468" xr:uid="{00000000-0005-0000-0000-0000CE010000}"/>
    <cellStyle name="F3 5" xfId="469" xr:uid="{00000000-0005-0000-0000-0000CF010000}"/>
    <cellStyle name="F3 6" xfId="470" xr:uid="{00000000-0005-0000-0000-0000D0010000}"/>
    <cellStyle name="F3 7" xfId="471" xr:uid="{00000000-0005-0000-0000-0000D1010000}"/>
    <cellStyle name="F3 8" xfId="472" xr:uid="{00000000-0005-0000-0000-0000D2010000}"/>
    <cellStyle name="F3 9" xfId="473" xr:uid="{00000000-0005-0000-0000-0000D3010000}"/>
    <cellStyle name="F3_Regenerated Revenues LGE Gas 2008-04 with Elec Gen-Seelye final version " xfId="474" xr:uid="{00000000-0005-0000-0000-0000D4010000}"/>
    <cellStyle name="F4" xfId="475" xr:uid="{00000000-0005-0000-0000-0000D5010000}"/>
    <cellStyle name="F4 2" xfId="476" xr:uid="{00000000-0005-0000-0000-0000D6010000}"/>
    <cellStyle name="F4 3" xfId="477" xr:uid="{00000000-0005-0000-0000-0000D7010000}"/>
    <cellStyle name="F4 4" xfId="478" xr:uid="{00000000-0005-0000-0000-0000D8010000}"/>
    <cellStyle name="F4 5" xfId="479" xr:uid="{00000000-0005-0000-0000-0000D9010000}"/>
    <cellStyle name="F4 6" xfId="480" xr:uid="{00000000-0005-0000-0000-0000DA010000}"/>
    <cellStyle name="F4 7" xfId="481" xr:uid="{00000000-0005-0000-0000-0000DB010000}"/>
    <cellStyle name="F4 8" xfId="482" xr:uid="{00000000-0005-0000-0000-0000DC010000}"/>
    <cellStyle name="F4 9" xfId="483" xr:uid="{00000000-0005-0000-0000-0000DD010000}"/>
    <cellStyle name="F4_Regenerated Revenues LGE Gas 2008-04 with Elec Gen-Seelye final version " xfId="484" xr:uid="{00000000-0005-0000-0000-0000DE010000}"/>
    <cellStyle name="F5" xfId="485" xr:uid="{00000000-0005-0000-0000-0000DF010000}"/>
    <cellStyle name="F5 2" xfId="486" xr:uid="{00000000-0005-0000-0000-0000E0010000}"/>
    <cellStyle name="F5 3" xfId="487" xr:uid="{00000000-0005-0000-0000-0000E1010000}"/>
    <cellStyle name="F5 4" xfId="488" xr:uid="{00000000-0005-0000-0000-0000E2010000}"/>
    <cellStyle name="F5 5" xfId="489" xr:uid="{00000000-0005-0000-0000-0000E3010000}"/>
    <cellStyle name="F5 6" xfId="490" xr:uid="{00000000-0005-0000-0000-0000E4010000}"/>
    <cellStyle name="F5 7" xfId="491" xr:uid="{00000000-0005-0000-0000-0000E5010000}"/>
    <cellStyle name="F5 8" xfId="492" xr:uid="{00000000-0005-0000-0000-0000E6010000}"/>
    <cellStyle name="F5 9" xfId="493" xr:uid="{00000000-0005-0000-0000-0000E7010000}"/>
    <cellStyle name="F5_Regenerated Revenues LGE Gas 2008-04 with Elec Gen-Seelye final version " xfId="494" xr:uid="{00000000-0005-0000-0000-0000E8010000}"/>
    <cellStyle name="F6" xfId="495" xr:uid="{00000000-0005-0000-0000-0000E9010000}"/>
    <cellStyle name="F6 2" xfId="496" xr:uid="{00000000-0005-0000-0000-0000EA010000}"/>
    <cellStyle name="F6 3" xfId="497" xr:uid="{00000000-0005-0000-0000-0000EB010000}"/>
    <cellStyle name="F6 4" xfId="498" xr:uid="{00000000-0005-0000-0000-0000EC010000}"/>
    <cellStyle name="F6 5" xfId="499" xr:uid="{00000000-0005-0000-0000-0000ED010000}"/>
    <cellStyle name="F6 6" xfId="500" xr:uid="{00000000-0005-0000-0000-0000EE010000}"/>
    <cellStyle name="F6 7" xfId="501" xr:uid="{00000000-0005-0000-0000-0000EF010000}"/>
    <cellStyle name="F6 8" xfId="502" xr:uid="{00000000-0005-0000-0000-0000F0010000}"/>
    <cellStyle name="F6 9" xfId="503" xr:uid="{00000000-0005-0000-0000-0000F1010000}"/>
    <cellStyle name="F6_Regenerated Revenues LGE Gas 2008-04 with Elec Gen-Seelye final version " xfId="504" xr:uid="{00000000-0005-0000-0000-0000F2010000}"/>
    <cellStyle name="F7" xfId="505" xr:uid="{00000000-0005-0000-0000-0000F3010000}"/>
    <cellStyle name="F7 2" xfId="506" xr:uid="{00000000-0005-0000-0000-0000F4010000}"/>
    <cellStyle name="F7 3" xfId="507" xr:uid="{00000000-0005-0000-0000-0000F5010000}"/>
    <cellStyle name="F7 4" xfId="508" xr:uid="{00000000-0005-0000-0000-0000F6010000}"/>
    <cellStyle name="F7 5" xfId="509" xr:uid="{00000000-0005-0000-0000-0000F7010000}"/>
    <cellStyle name="F7 6" xfId="510" xr:uid="{00000000-0005-0000-0000-0000F8010000}"/>
    <cellStyle name="F7 7" xfId="511" xr:uid="{00000000-0005-0000-0000-0000F9010000}"/>
    <cellStyle name="F7 8" xfId="512" xr:uid="{00000000-0005-0000-0000-0000FA010000}"/>
    <cellStyle name="F7 9" xfId="513" xr:uid="{00000000-0005-0000-0000-0000FB010000}"/>
    <cellStyle name="F7_Regenerated Revenues LGE Gas 2008-04 with Elec Gen-Seelye final version " xfId="514" xr:uid="{00000000-0005-0000-0000-0000FC010000}"/>
    <cellStyle name="F8" xfId="515" xr:uid="{00000000-0005-0000-0000-0000FD010000}"/>
    <cellStyle name="F8 2" xfId="516" xr:uid="{00000000-0005-0000-0000-0000FE010000}"/>
    <cellStyle name="F8 3" xfId="517" xr:uid="{00000000-0005-0000-0000-0000FF010000}"/>
    <cellStyle name="F8 4" xfId="518" xr:uid="{00000000-0005-0000-0000-000000020000}"/>
    <cellStyle name="F8 5" xfId="519" xr:uid="{00000000-0005-0000-0000-000001020000}"/>
    <cellStyle name="F8 6" xfId="520" xr:uid="{00000000-0005-0000-0000-000002020000}"/>
    <cellStyle name="F8 7" xfId="521" xr:uid="{00000000-0005-0000-0000-000003020000}"/>
    <cellStyle name="F8 8" xfId="522" xr:uid="{00000000-0005-0000-0000-000004020000}"/>
    <cellStyle name="F8 9" xfId="523" xr:uid="{00000000-0005-0000-0000-000005020000}"/>
    <cellStyle name="F8_Regenerated Revenues LGE Gas 2008-04 with Elec Gen-Seelye final version " xfId="524" xr:uid="{00000000-0005-0000-0000-000006020000}"/>
    <cellStyle name="Fixed" xfId="525" xr:uid="{00000000-0005-0000-0000-000007020000}"/>
    <cellStyle name="Good 10" xfId="526" xr:uid="{00000000-0005-0000-0000-000008020000}"/>
    <cellStyle name="Good 11" xfId="527" xr:uid="{00000000-0005-0000-0000-000009020000}"/>
    <cellStyle name="Good 12" xfId="528" xr:uid="{00000000-0005-0000-0000-00000A020000}"/>
    <cellStyle name="Good 13" xfId="529" xr:uid="{00000000-0005-0000-0000-00000B020000}"/>
    <cellStyle name="Good 14" xfId="530" xr:uid="{00000000-0005-0000-0000-00000C020000}"/>
    <cellStyle name="Good 15" xfId="531" xr:uid="{00000000-0005-0000-0000-00000D020000}"/>
    <cellStyle name="Good 16" xfId="532" xr:uid="{00000000-0005-0000-0000-00000E020000}"/>
    <cellStyle name="Good 2" xfId="533" xr:uid="{00000000-0005-0000-0000-00000F020000}"/>
    <cellStyle name="Good 3" xfId="534" xr:uid="{00000000-0005-0000-0000-000010020000}"/>
    <cellStyle name="Good 4" xfId="535" xr:uid="{00000000-0005-0000-0000-000011020000}"/>
    <cellStyle name="Good 5" xfId="536" xr:uid="{00000000-0005-0000-0000-000012020000}"/>
    <cellStyle name="Good 6" xfId="537" xr:uid="{00000000-0005-0000-0000-000013020000}"/>
    <cellStyle name="Good 7" xfId="538" xr:uid="{00000000-0005-0000-0000-000014020000}"/>
    <cellStyle name="Good 8" xfId="539" xr:uid="{00000000-0005-0000-0000-000015020000}"/>
    <cellStyle name="Good 9" xfId="540" xr:uid="{00000000-0005-0000-0000-000016020000}"/>
    <cellStyle name="Heading 1 10" xfId="541" xr:uid="{00000000-0005-0000-0000-000017020000}"/>
    <cellStyle name="Heading 1 11" xfId="542" xr:uid="{00000000-0005-0000-0000-000018020000}"/>
    <cellStyle name="Heading 1 12" xfId="543" xr:uid="{00000000-0005-0000-0000-000019020000}"/>
    <cellStyle name="Heading 1 13" xfId="544" xr:uid="{00000000-0005-0000-0000-00001A020000}"/>
    <cellStyle name="Heading 1 14" xfId="545" xr:uid="{00000000-0005-0000-0000-00001B020000}"/>
    <cellStyle name="Heading 1 15" xfId="546" xr:uid="{00000000-0005-0000-0000-00001C020000}"/>
    <cellStyle name="Heading 1 16" xfId="547" xr:uid="{00000000-0005-0000-0000-00001D020000}"/>
    <cellStyle name="Heading 1 2" xfId="548" xr:uid="{00000000-0005-0000-0000-00001E020000}"/>
    <cellStyle name="Heading 1 3" xfId="549" xr:uid="{00000000-0005-0000-0000-00001F020000}"/>
    <cellStyle name="Heading 1 4" xfId="550" xr:uid="{00000000-0005-0000-0000-000020020000}"/>
    <cellStyle name="Heading 1 5" xfId="551" xr:uid="{00000000-0005-0000-0000-000021020000}"/>
    <cellStyle name="Heading 1 6" xfId="552" xr:uid="{00000000-0005-0000-0000-000022020000}"/>
    <cellStyle name="Heading 1 7" xfId="553" xr:uid="{00000000-0005-0000-0000-000023020000}"/>
    <cellStyle name="Heading 1 8" xfId="554" xr:uid="{00000000-0005-0000-0000-000024020000}"/>
    <cellStyle name="Heading 1 9" xfId="555" xr:uid="{00000000-0005-0000-0000-000025020000}"/>
    <cellStyle name="Heading 2 10" xfId="556" xr:uid="{00000000-0005-0000-0000-000026020000}"/>
    <cellStyle name="Heading 2 11" xfId="557" xr:uid="{00000000-0005-0000-0000-000027020000}"/>
    <cellStyle name="Heading 2 12" xfId="558" xr:uid="{00000000-0005-0000-0000-000028020000}"/>
    <cellStyle name="Heading 2 13" xfId="559" xr:uid="{00000000-0005-0000-0000-000029020000}"/>
    <cellStyle name="Heading 2 14" xfId="560" xr:uid="{00000000-0005-0000-0000-00002A020000}"/>
    <cellStyle name="Heading 2 15" xfId="561" xr:uid="{00000000-0005-0000-0000-00002B020000}"/>
    <cellStyle name="Heading 2 16" xfId="562" xr:uid="{00000000-0005-0000-0000-00002C020000}"/>
    <cellStyle name="Heading 2 2" xfId="563" xr:uid="{00000000-0005-0000-0000-00002D020000}"/>
    <cellStyle name="Heading 2 3" xfId="564" xr:uid="{00000000-0005-0000-0000-00002E020000}"/>
    <cellStyle name="Heading 2 4" xfId="565" xr:uid="{00000000-0005-0000-0000-00002F020000}"/>
    <cellStyle name="Heading 2 5" xfId="566" xr:uid="{00000000-0005-0000-0000-000030020000}"/>
    <cellStyle name="Heading 2 6" xfId="567" xr:uid="{00000000-0005-0000-0000-000031020000}"/>
    <cellStyle name="Heading 2 7" xfId="568" xr:uid="{00000000-0005-0000-0000-000032020000}"/>
    <cellStyle name="Heading 2 8" xfId="569" xr:uid="{00000000-0005-0000-0000-000033020000}"/>
    <cellStyle name="Heading 2 9" xfId="570" xr:uid="{00000000-0005-0000-0000-000034020000}"/>
    <cellStyle name="Heading 3 10" xfId="571" xr:uid="{00000000-0005-0000-0000-000035020000}"/>
    <cellStyle name="Heading 3 11" xfId="572" xr:uid="{00000000-0005-0000-0000-000036020000}"/>
    <cellStyle name="Heading 3 12" xfId="573" xr:uid="{00000000-0005-0000-0000-000037020000}"/>
    <cellStyle name="Heading 3 13" xfId="574" xr:uid="{00000000-0005-0000-0000-000038020000}"/>
    <cellStyle name="Heading 3 14" xfId="575" xr:uid="{00000000-0005-0000-0000-000039020000}"/>
    <cellStyle name="Heading 3 15" xfId="576" xr:uid="{00000000-0005-0000-0000-00003A020000}"/>
    <cellStyle name="Heading 3 16" xfId="577" xr:uid="{00000000-0005-0000-0000-00003B020000}"/>
    <cellStyle name="Heading 3 2" xfId="578" xr:uid="{00000000-0005-0000-0000-00003C020000}"/>
    <cellStyle name="Heading 3 3" xfId="579" xr:uid="{00000000-0005-0000-0000-00003D020000}"/>
    <cellStyle name="Heading 3 4" xfId="580" xr:uid="{00000000-0005-0000-0000-00003E020000}"/>
    <cellStyle name="Heading 3 5" xfId="581" xr:uid="{00000000-0005-0000-0000-00003F020000}"/>
    <cellStyle name="Heading 3 6" xfId="582" xr:uid="{00000000-0005-0000-0000-000040020000}"/>
    <cellStyle name="Heading 3 7" xfId="583" xr:uid="{00000000-0005-0000-0000-000041020000}"/>
    <cellStyle name="Heading 3 8" xfId="584" xr:uid="{00000000-0005-0000-0000-000042020000}"/>
    <cellStyle name="Heading 3 9" xfId="585" xr:uid="{00000000-0005-0000-0000-000043020000}"/>
    <cellStyle name="Heading 4 10" xfId="586" xr:uid="{00000000-0005-0000-0000-000044020000}"/>
    <cellStyle name="Heading 4 11" xfId="587" xr:uid="{00000000-0005-0000-0000-000045020000}"/>
    <cellStyle name="Heading 4 12" xfId="588" xr:uid="{00000000-0005-0000-0000-000046020000}"/>
    <cellStyle name="Heading 4 13" xfId="589" xr:uid="{00000000-0005-0000-0000-000047020000}"/>
    <cellStyle name="Heading 4 14" xfId="590" xr:uid="{00000000-0005-0000-0000-000048020000}"/>
    <cellStyle name="Heading 4 15" xfId="591" xr:uid="{00000000-0005-0000-0000-000049020000}"/>
    <cellStyle name="Heading 4 16" xfId="592" xr:uid="{00000000-0005-0000-0000-00004A020000}"/>
    <cellStyle name="Heading 4 2" xfId="593" xr:uid="{00000000-0005-0000-0000-00004B020000}"/>
    <cellStyle name="Heading 4 3" xfId="594" xr:uid="{00000000-0005-0000-0000-00004C020000}"/>
    <cellStyle name="Heading 4 4" xfId="595" xr:uid="{00000000-0005-0000-0000-00004D020000}"/>
    <cellStyle name="Heading 4 5" xfId="596" xr:uid="{00000000-0005-0000-0000-00004E020000}"/>
    <cellStyle name="Heading 4 6" xfId="597" xr:uid="{00000000-0005-0000-0000-00004F020000}"/>
    <cellStyle name="Heading 4 7" xfId="598" xr:uid="{00000000-0005-0000-0000-000050020000}"/>
    <cellStyle name="Heading 4 8" xfId="599" xr:uid="{00000000-0005-0000-0000-000051020000}"/>
    <cellStyle name="Heading 4 9" xfId="600" xr:uid="{00000000-0005-0000-0000-000052020000}"/>
    <cellStyle name="Input 10" xfId="601" xr:uid="{00000000-0005-0000-0000-000053020000}"/>
    <cellStyle name="Input 11" xfId="602" xr:uid="{00000000-0005-0000-0000-000054020000}"/>
    <cellStyle name="Input 12" xfId="603" xr:uid="{00000000-0005-0000-0000-000055020000}"/>
    <cellStyle name="Input 13" xfId="604" xr:uid="{00000000-0005-0000-0000-000056020000}"/>
    <cellStyle name="Input 14" xfId="605" xr:uid="{00000000-0005-0000-0000-000057020000}"/>
    <cellStyle name="Input 15" xfId="606" xr:uid="{00000000-0005-0000-0000-000058020000}"/>
    <cellStyle name="Input 16" xfId="607" xr:uid="{00000000-0005-0000-0000-000059020000}"/>
    <cellStyle name="Input 2" xfId="608" xr:uid="{00000000-0005-0000-0000-00005A020000}"/>
    <cellStyle name="Input 3" xfId="609" xr:uid="{00000000-0005-0000-0000-00005B020000}"/>
    <cellStyle name="Input 4" xfId="610" xr:uid="{00000000-0005-0000-0000-00005C020000}"/>
    <cellStyle name="Input 5" xfId="611" xr:uid="{00000000-0005-0000-0000-00005D020000}"/>
    <cellStyle name="Input 6" xfId="612" xr:uid="{00000000-0005-0000-0000-00005E020000}"/>
    <cellStyle name="Input 7" xfId="613" xr:uid="{00000000-0005-0000-0000-00005F020000}"/>
    <cellStyle name="Input 8" xfId="614" xr:uid="{00000000-0005-0000-0000-000060020000}"/>
    <cellStyle name="Input 9" xfId="615" xr:uid="{00000000-0005-0000-0000-000061020000}"/>
    <cellStyle name="Linked Cell 10" xfId="616" xr:uid="{00000000-0005-0000-0000-000062020000}"/>
    <cellStyle name="Linked Cell 11" xfId="617" xr:uid="{00000000-0005-0000-0000-000063020000}"/>
    <cellStyle name="Linked Cell 12" xfId="618" xr:uid="{00000000-0005-0000-0000-000064020000}"/>
    <cellStyle name="Linked Cell 13" xfId="619" xr:uid="{00000000-0005-0000-0000-000065020000}"/>
    <cellStyle name="Linked Cell 14" xfId="620" xr:uid="{00000000-0005-0000-0000-000066020000}"/>
    <cellStyle name="Linked Cell 15" xfId="621" xr:uid="{00000000-0005-0000-0000-000067020000}"/>
    <cellStyle name="Linked Cell 16" xfId="622" xr:uid="{00000000-0005-0000-0000-000068020000}"/>
    <cellStyle name="Linked Cell 2" xfId="623" xr:uid="{00000000-0005-0000-0000-000069020000}"/>
    <cellStyle name="Linked Cell 3" xfId="624" xr:uid="{00000000-0005-0000-0000-00006A020000}"/>
    <cellStyle name="Linked Cell 4" xfId="625" xr:uid="{00000000-0005-0000-0000-00006B020000}"/>
    <cellStyle name="Linked Cell 5" xfId="626" xr:uid="{00000000-0005-0000-0000-00006C020000}"/>
    <cellStyle name="Linked Cell 6" xfId="627" xr:uid="{00000000-0005-0000-0000-00006D020000}"/>
    <cellStyle name="Linked Cell 7" xfId="628" xr:uid="{00000000-0005-0000-0000-00006E020000}"/>
    <cellStyle name="Linked Cell 8" xfId="629" xr:uid="{00000000-0005-0000-0000-00006F020000}"/>
    <cellStyle name="Linked Cell 9" xfId="630" xr:uid="{00000000-0005-0000-0000-000070020000}"/>
    <cellStyle name="Neutral 10" xfId="631" xr:uid="{00000000-0005-0000-0000-000071020000}"/>
    <cellStyle name="Neutral 11" xfId="632" xr:uid="{00000000-0005-0000-0000-000072020000}"/>
    <cellStyle name="Neutral 12" xfId="633" xr:uid="{00000000-0005-0000-0000-000073020000}"/>
    <cellStyle name="Neutral 13" xfId="634" xr:uid="{00000000-0005-0000-0000-000074020000}"/>
    <cellStyle name="Neutral 14" xfId="635" xr:uid="{00000000-0005-0000-0000-000075020000}"/>
    <cellStyle name="Neutral 15" xfId="636" xr:uid="{00000000-0005-0000-0000-000076020000}"/>
    <cellStyle name="Neutral 16" xfId="637" xr:uid="{00000000-0005-0000-0000-000077020000}"/>
    <cellStyle name="Neutral 2" xfId="638" xr:uid="{00000000-0005-0000-0000-000078020000}"/>
    <cellStyle name="Neutral 3" xfId="639" xr:uid="{00000000-0005-0000-0000-000079020000}"/>
    <cellStyle name="Neutral 4" xfId="640" xr:uid="{00000000-0005-0000-0000-00007A020000}"/>
    <cellStyle name="Neutral 5" xfId="641" xr:uid="{00000000-0005-0000-0000-00007B020000}"/>
    <cellStyle name="Neutral 6" xfId="642" xr:uid="{00000000-0005-0000-0000-00007C020000}"/>
    <cellStyle name="Neutral 7" xfId="643" xr:uid="{00000000-0005-0000-0000-00007D020000}"/>
    <cellStyle name="Neutral 8" xfId="644" xr:uid="{00000000-0005-0000-0000-00007E020000}"/>
    <cellStyle name="Neutral 9" xfId="645" xr:uid="{00000000-0005-0000-0000-00007F020000}"/>
    <cellStyle name="Normal" xfId="0" builtinId="0"/>
    <cellStyle name="Normal 10" xfId="646" xr:uid="{00000000-0005-0000-0000-000081020000}"/>
    <cellStyle name="Normal 11" xfId="647" xr:uid="{00000000-0005-0000-0000-000082020000}"/>
    <cellStyle name="Normal 12" xfId="648" xr:uid="{00000000-0005-0000-0000-000083020000}"/>
    <cellStyle name="Normal 13" xfId="649" xr:uid="{00000000-0005-0000-0000-000084020000}"/>
    <cellStyle name="Normal 14" xfId="12" xr:uid="{00000000-0005-0000-0000-000085020000}"/>
    <cellStyle name="Normal 15" xfId="650" xr:uid="{00000000-0005-0000-0000-000086020000}"/>
    <cellStyle name="Normal 16" xfId="651" xr:uid="{00000000-0005-0000-0000-000087020000}"/>
    <cellStyle name="Normal 17" xfId="652" xr:uid="{00000000-0005-0000-0000-000088020000}"/>
    <cellStyle name="Normal 18" xfId="653" xr:uid="{00000000-0005-0000-0000-000089020000}"/>
    <cellStyle name="Normal 19" xfId="654" xr:uid="{00000000-0005-0000-0000-00008A020000}"/>
    <cellStyle name="Normal 2" xfId="5" xr:uid="{00000000-0005-0000-0000-00008B020000}"/>
    <cellStyle name="Normal 2 10" xfId="655" xr:uid="{00000000-0005-0000-0000-00008C020000}"/>
    <cellStyle name="Normal 2 11" xfId="656" xr:uid="{00000000-0005-0000-0000-00008D020000}"/>
    <cellStyle name="Normal 2 12" xfId="657" xr:uid="{00000000-0005-0000-0000-00008E020000}"/>
    <cellStyle name="Normal 2 13" xfId="658" xr:uid="{00000000-0005-0000-0000-00008F020000}"/>
    <cellStyle name="Normal 2 14" xfId="659" xr:uid="{00000000-0005-0000-0000-000090020000}"/>
    <cellStyle name="Normal 2 15" xfId="660" xr:uid="{00000000-0005-0000-0000-000091020000}"/>
    <cellStyle name="Normal 2 16" xfId="661" xr:uid="{00000000-0005-0000-0000-000092020000}"/>
    <cellStyle name="Normal 2 19" xfId="848" xr:uid="{00000000-0005-0000-0000-000093020000}"/>
    <cellStyle name="Normal 2 2" xfId="662" xr:uid="{00000000-0005-0000-0000-000094020000}"/>
    <cellStyle name="Normal 2 3" xfId="663" xr:uid="{00000000-0005-0000-0000-000095020000}"/>
    <cellStyle name="Normal 2 4" xfId="664" xr:uid="{00000000-0005-0000-0000-000096020000}"/>
    <cellStyle name="Normal 2 5" xfId="665" xr:uid="{00000000-0005-0000-0000-000097020000}"/>
    <cellStyle name="Normal 2 6" xfId="666" xr:uid="{00000000-0005-0000-0000-000098020000}"/>
    <cellStyle name="Normal 2 7" xfId="667" xr:uid="{00000000-0005-0000-0000-000099020000}"/>
    <cellStyle name="Normal 2 8" xfId="668" xr:uid="{00000000-0005-0000-0000-00009A020000}"/>
    <cellStyle name="Normal 2 9" xfId="669" xr:uid="{00000000-0005-0000-0000-00009B020000}"/>
    <cellStyle name="Normal 2_LGEElecBillingDeterminants2009-10" xfId="670" xr:uid="{00000000-0005-0000-0000-00009C020000}"/>
    <cellStyle name="Normal 20" xfId="671" xr:uid="{00000000-0005-0000-0000-00009D020000}"/>
    <cellStyle name="Normal 21" xfId="672" xr:uid="{00000000-0005-0000-0000-00009E020000}"/>
    <cellStyle name="Normal 22" xfId="673" xr:uid="{00000000-0005-0000-0000-00009F020000}"/>
    <cellStyle name="Normal 23" xfId="674" xr:uid="{00000000-0005-0000-0000-0000A0020000}"/>
    <cellStyle name="Normal 3" xfId="2" xr:uid="{00000000-0005-0000-0000-0000A1020000}"/>
    <cellStyle name="Normal 3 10" xfId="675" xr:uid="{00000000-0005-0000-0000-0000A2020000}"/>
    <cellStyle name="Normal 3 11" xfId="676" xr:uid="{00000000-0005-0000-0000-0000A3020000}"/>
    <cellStyle name="Normal 3 12" xfId="677" xr:uid="{00000000-0005-0000-0000-0000A4020000}"/>
    <cellStyle name="Normal 3 13" xfId="678" xr:uid="{00000000-0005-0000-0000-0000A5020000}"/>
    <cellStyle name="Normal 3 14" xfId="679" xr:uid="{00000000-0005-0000-0000-0000A6020000}"/>
    <cellStyle name="Normal 3 15" xfId="680" xr:uid="{00000000-0005-0000-0000-0000A7020000}"/>
    <cellStyle name="Normal 3 16" xfId="681" xr:uid="{00000000-0005-0000-0000-0000A8020000}"/>
    <cellStyle name="Normal 3 17" xfId="845" xr:uid="{00000000-0005-0000-0000-0000A9020000}"/>
    <cellStyle name="Normal 3 2" xfId="682" xr:uid="{00000000-0005-0000-0000-0000AA020000}"/>
    <cellStyle name="Normal 3 3" xfId="683" xr:uid="{00000000-0005-0000-0000-0000AB020000}"/>
    <cellStyle name="Normal 3 4" xfId="684" xr:uid="{00000000-0005-0000-0000-0000AC020000}"/>
    <cellStyle name="Normal 3 5" xfId="685" xr:uid="{00000000-0005-0000-0000-0000AD020000}"/>
    <cellStyle name="Normal 3 6" xfId="686" xr:uid="{00000000-0005-0000-0000-0000AE020000}"/>
    <cellStyle name="Normal 3 7" xfId="687" xr:uid="{00000000-0005-0000-0000-0000AF020000}"/>
    <cellStyle name="Normal 3 8" xfId="688" xr:uid="{00000000-0005-0000-0000-0000B0020000}"/>
    <cellStyle name="Normal 3 9" xfId="689" xr:uid="{00000000-0005-0000-0000-0000B1020000}"/>
    <cellStyle name="Normal 3_LGEElecBillingDeterminants2009-10" xfId="690" xr:uid="{00000000-0005-0000-0000-0000B2020000}"/>
    <cellStyle name="Normal 4" xfId="7" xr:uid="{00000000-0005-0000-0000-0000B3020000}"/>
    <cellStyle name="Normal 4 2" xfId="691" xr:uid="{00000000-0005-0000-0000-0000B4020000}"/>
    <cellStyle name="Normal 4 3" xfId="692" xr:uid="{00000000-0005-0000-0000-0000B5020000}"/>
    <cellStyle name="Normal 4_Regenerated Revenues LGE Gas 10312009" xfId="693" xr:uid="{00000000-0005-0000-0000-0000B6020000}"/>
    <cellStyle name="Normal 5" xfId="11" xr:uid="{00000000-0005-0000-0000-0000B7020000}"/>
    <cellStyle name="Normal 5 2" xfId="694" xr:uid="{00000000-0005-0000-0000-0000B8020000}"/>
    <cellStyle name="Normal 5 3" xfId="695" xr:uid="{00000000-0005-0000-0000-0000B9020000}"/>
    <cellStyle name="Normal 6" xfId="696" xr:uid="{00000000-0005-0000-0000-0000BA020000}"/>
    <cellStyle name="Normal 6 2" xfId="697" xr:uid="{00000000-0005-0000-0000-0000BB020000}"/>
    <cellStyle name="Normal 6 3" xfId="698" xr:uid="{00000000-0005-0000-0000-0000BC020000}"/>
    <cellStyle name="Normal 7" xfId="699" xr:uid="{00000000-0005-0000-0000-0000BD020000}"/>
    <cellStyle name="Normal 7 2" xfId="700" xr:uid="{00000000-0005-0000-0000-0000BE020000}"/>
    <cellStyle name="Normal 7 3" xfId="701" xr:uid="{00000000-0005-0000-0000-0000BF020000}"/>
    <cellStyle name="Normal 8" xfId="702" xr:uid="{00000000-0005-0000-0000-0000C0020000}"/>
    <cellStyle name="Normal 8 2" xfId="703" xr:uid="{00000000-0005-0000-0000-0000C1020000}"/>
    <cellStyle name="Normal 8 3" xfId="704" xr:uid="{00000000-0005-0000-0000-0000C2020000}"/>
    <cellStyle name="Normal 81" xfId="849" xr:uid="{00000000-0005-0000-0000-0000C3020000}"/>
    <cellStyle name="Normal 9" xfId="705" xr:uid="{00000000-0005-0000-0000-0000C4020000}"/>
    <cellStyle name="Normal 9 2" xfId="706" xr:uid="{00000000-0005-0000-0000-0000C5020000}"/>
    <cellStyle name="Normal 9 3" xfId="707" xr:uid="{00000000-0005-0000-0000-0000C6020000}"/>
    <cellStyle name="Normal_LGE Filed Test Period Billing Exhibits - SBR Summary" xfId="847" xr:uid="{00000000-0005-0000-0000-0000C7020000}"/>
    <cellStyle name="Normal_Regenerated Revenues LGE Gas 2008-04 with Elec Gen-Seelye final version " xfId="844" xr:uid="{00000000-0005-0000-0000-0000C8020000}"/>
    <cellStyle name="Note 10" xfId="708" xr:uid="{00000000-0005-0000-0000-0000C9020000}"/>
    <cellStyle name="Note 11" xfId="709" xr:uid="{00000000-0005-0000-0000-0000CA020000}"/>
    <cellStyle name="Note 12" xfId="710" xr:uid="{00000000-0005-0000-0000-0000CB020000}"/>
    <cellStyle name="Note 13" xfId="711" xr:uid="{00000000-0005-0000-0000-0000CC020000}"/>
    <cellStyle name="Note 14" xfId="712" xr:uid="{00000000-0005-0000-0000-0000CD020000}"/>
    <cellStyle name="Note 2" xfId="713" xr:uid="{00000000-0005-0000-0000-0000CE020000}"/>
    <cellStyle name="Note 2 2" xfId="714" xr:uid="{00000000-0005-0000-0000-0000CF020000}"/>
    <cellStyle name="Note 2 3" xfId="715" xr:uid="{00000000-0005-0000-0000-0000D0020000}"/>
    <cellStyle name="Note 3" xfId="716" xr:uid="{00000000-0005-0000-0000-0000D1020000}"/>
    <cellStyle name="Note 3 2" xfId="717" xr:uid="{00000000-0005-0000-0000-0000D2020000}"/>
    <cellStyle name="Note 3 3" xfId="718" xr:uid="{00000000-0005-0000-0000-0000D3020000}"/>
    <cellStyle name="Note 4" xfId="719" xr:uid="{00000000-0005-0000-0000-0000D4020000}"/>
    <cellStyle name="Note 4 2" xfId="720" xr:uid="{00000000-0005-0000-0000-0000D5020000}"/>
    <cellStyle name="Note 4 3" xfId="721" xr:uid="{00000000-0005-0000-0000-0000D6020000}"/>
    <cellStyle name="Note 5" xfId="722" xr:uid="{00000000-0005-0000-0000-0000D7020000}"/>
    <cellStyle name="Note 5 2" xfId="723" xr:uid="{00000000-0005-0000-0000-0000D8020000}"/>
    <cellStyle name="Note 5 3" xfId="724" xr:uid="{00000000-0005-0000-0000-0000D9020000}"/>
    <cellStyle name="Note 6" xfId="725" xr:uid="{00000000-0005-0000-0000-0000DA020000}"/>
    <cellStyle name="Note 6 2" xfId="726" xr:uid="{00000000-0005-0000-0000-0000DB020000}"/>
    <cellStyle name="Note 6 3" xfId="727" xr:uid="{00000000-0005-0000-0000-0000DC020000}"/>
    <cellStyle name="Note 7" xfId="728" xr:uid="{00000000-0005-0000-0000-0000DD020000}"/>
    <cellStyle name="Note 7 2" xfId="729" xr:uid="{00000000-0005-0000-0000-0000DE020000}"/>
    <cellStyle name="Note 7 3" xfId="730" xr:uid="{00000000-0005-0000-0000-0000DF020000}"/>
    <cellStyle name="Note 8" xfId="731" xr:uid="{00000000-0005-0000-0000-0000E0020000}"/>
    <cellStyle name="Note 8 2" xfId="732" xr:uid="{00000000-0005-0000-0000-0000E1020000}"/>
    <cellStyle name="Note 8 3" xfId="733" xr:uid="{00000000-0005-0000-0000-0000E2020000}"/>
    <cellStyle name="Note 9" xfId="734" xr:uid="{00000000-0005-0000-0000-0000E3020000}"/>
    <cellStyle name="Output 10" xfId="735" xr:uid="{00000000-0005-0000-0000-0000E4020000}"/>
    <cellStyle name="Output 11" xfId="736" xr:uid="{00000000-0005-0000-0000-0000E5020000}"/>
    <cellStyle name="Output 12" xfId="737" xr:uid="{00000000-0005-0000-0000-0000E6020000}"/>
    <cellStyle name="Output 13" xfId="738" xr:uid="{00000000-0005-0000-0000-0000E7020000}"/>
    <cellStyle name="Output 14" xfId="739" xr:uid="{00000000-0005-0000-0000-0000E8020000}"/>
    <cellStyle name="Output 15" xfId="740" xr:uid="{00000000-0005-0000-0000-0000E9020000}"/>
    <cellStyle name="Output 16" xfId="741" xr:uid="{00000000-0005-0000-0000-0000EA020000}"/>
    <cellStyle name="Output 2" xfId="742" xr:uid="{00000000-0005-0000-0000-0000EB020000}"/>
    <cellStyle name="Output 3" xfId="743" xr:uid="{00000000-0005-0000-0000-0000EC020000}"/>
    <cellStyle name="Output 4" xfId="744" xr:uid="{00000000-0005-0000-0000-0000ED020000}"/>
    <cellStyle name="Output 5" xfId="745" xr:uid="{00000000-0005-0000-0000-0000EE020000}"/>
    <cellStyle name="Output 6" xfId="746" xr:uid="{00000000-0005-0000-0000-0000EF020000}"/>
    <cellStyle name="Output 7" xfId="747" xr:uid="{00000000-0005-0000-0000-0000F0020000}"/>
    <cellStyle name="Output 8" xfId="748" xr:uid="{00000000-0005-0000-0000-0000F1020000}"/>
    <cellStyle name="Output 9" xfId="749" xr:uid="{00000000-0005-0000-0000-0000F2020000}"/>
    <cellStyle name="Output Amounts" xfId="750" xr:uid="{00000000-0005-0000-0000-0000F3020000}"/>
    <cellStyle name="Output Column Headings" xfId="751" xr:uid="{00000000-0005-0000-0000-0000F4020000}"/>
    <cellStyle name="Output Column Headings 2" xfId="752" xr:uid="{00000000-0005-0000-0000-0000F5020000}"/>
    <cellStyle name="Output Column Headings 3" xfId="753" xr:uid="{00000000-0005-0000-0000-0000F6020000}"/>
    <cellStyle name="Output Column Headings 4" xfId="754" xr:uid="{00000000-0005-0000-0000-0000F7020000}"/>
    <cellStyle name="Output Column Headings 5" xfId="755" xr:uid="{00000000-0005-0000-0000-0000F8020000}"/>
    <cellStyle name="Output Column Headings 6" xfId="756" xr:uid="{00000000-0005-0000-0000-0000F9020000}"/>
    <cellStyle name="Output Column Headings 7" xfId="757" xr:uid="{00000000-0005-0000-0000-0000FA020000}"/>
    <cellStyle name="Output Column Headings 8" xfId="758" xr:uid="{00000000-0005-0000-0000-0000FB020000}"/>
    <cellStyle name="Output Column Headings 9" xfId="759" xr:uid="{00000000-0005-0000-0000-0000FC020000}"/>
    <cellStyle name="Output Column Headings_Regenerated Revenues LGE Gas 2008-04 with Elec Gen-Seelye final version " xfId="760" xr:uid="{00000000-0005-0000-0000-0000FD020000}"/>
    <cellStyle name="Output Line Items" xfId="761" xr:uid="{00000000-0005-0000-0000-0000FE020000}"/>
    <cellStyle name="Output Line Items 2" xfId="762" xr:uid="{00000000-0005-0000-0000-0000FF020000}"/>
    <cellStyle name="Output Line Items 3" xfId="763" xr:uid="{00000000-0005-0000-0000-000000030000}"/>
    <cellStyle name="Output Line Items 4" xfId="764" xr:uid="{00000000-0005-0000-0000-000001030000}"/>
    <cellStyle name="Output Line Items 5" xfId="765" xr:uid="{00000000-0005-0000-0000-000002030000}"/>
    <cellStyle name="Output Line Items 6" xfId="766" xr:uid="{00000000-0005-0000-0000-000003030000}"/>
    <cellStyle name="Output Line Items 7" xfId="767" xr:uid="{00000000-0005-0000-0000-000004030000}"/>
    <cellStyle name="Output Line Items 8" xfId="768" xr:uid="{00000000-0005-0000-0000-000005030000}"/>
    <cellStyle name="Output Line Items 9" xfId="769" xr:uid="{00000000-0005-0000-0000-000006030000}"/>
    <cellStyle name="Output Line Items_Regenerated Revenues LGE Gas 2008-04 with Elec Gen-Seelye final version " xfId="770" xr:uid="{00000000-0005-0000-0000-000007030000}"/>
    <cellStyle name="Output Report Heading" xfId="771" xr:uid="{00000000-0005-0000-0000-000008030000}"/>
    <cellStyle name="Output Report Heading 2" xfId="772" xr:uid="{00000000-0005-0000-0000-000009030000}"/>
    <cellStyle name="Output Report Heading 3" xfId="773" xr:uid="{00000000-0005-0000-0000-00000A030000}"/>
    <cellStyle name="Output Report Heading 4" xfId="774" xr:uid="{00000000-0005-0000-0000-00000B030000}"/>
    <cellStyle name="Output Report Heading 5" xfId="775" xr:uid="{00000000-0005-0000-0000-00000C030000}"/>
    <cellStyle name="Output Report Heading 6" xfId="776" xr:uid="{00000000-0005-0000-0000-00000D030000}"/>
    <cellStyle name="Output Report Heading 7" xfId="777" xr:uid="{00000000-0005-0000-0000-00000E030000}"/>
    <cellStyle name="Output Report Heading 8" xfId="778" xr:uid="{00000000-0005-0000-0000-00000F030000}"/>
    <cellStyle name="Output Report Heading 9" xfId="779" xr:uid="{00000000-0005-0000-0000-000010030000}"/>
    <cellStyle name="Output Report Heading_Regenerated Revenues LGE Gas 2008-04 with Elec Gen-Seelye final version " xfId="780" xr:uid="{00000000-0005-0000-0000-000011030000}"/>
    <cellStyle name="Output Report Title" xfId="781" xr:uid="{00000000-0005-0000-0000-000012030000}"/>
    <cellStyle name="Output Report Title 2" xfId="782" xr:uid="{00000000-0005-0000-0000-000013030000}"/>
    <cellStyle name="Output Report Title 3" xfId="783" xr:uid="{00000000-0005-0000-0000-000014030000}"/>
    <cellStyle name="Output Report Title 4" xfId="784" xr:uid="{00000000-0005-0000-0000-000015030000}"/>
    <cellStyle name="Output Report Title 5" xfId="785" xr:uid="{00000000-0005-0000-0000-000016030000}"/>
    <cellStyle name="Output Report Title 6" xfId="786" xr:uid="{00000000-0005-0000-0000-000017030000}"/>
    <cellStyle name="Output Report Title 7" xfId="787" xr:uid="{00000000-0005-0000-0000-000018030000}"/>
    <cellStyle name="Output Report Title 8" xfId="788" xr:uid="{00000000-0005-0000-0000-000019030000}"/>
    <cellStyle name="Output Report Title 9" xfId="789" xr:uid="{00000000-0005-0000-0000-00001A030000}"/>
    <cellStyle name="Output Report Title_Regenerated Revenues LGE Gas 2008-04 with Elec Gen-Seelye final version " xfId="790" xr:uid="{00000000-0005-0000-0000-00001B030000}"/>
    <cellStyle name="Percent" xfId="10" builtinId="5"/>
    <cellStyle name="Percent 2" xfId="8" xr:uid="{00000000-0005-0000-0000-00001D030000}"/>
    <cellStyle name="Percent 3" xfId="791" xr:uid="{00000000-0005-0000-0000-00001E030000}"/>
    <cellStyle name="STYL5 - Style5" xfId="792" xr:uid="{00000000-0005-0000-0000-00001F030000}"/>
    <cellStyle name="STYL6 - Style6" xfId="793" xr:uid="{00000000-0005-0000-0000-000020030000}"/>
    <cellStyle name="STYLE1 - Style1" xfId="794" xr:uid="{00000000-0005-0000-0000-000021030000}"/>
    <cellStyle name="STYLE2 - Style2" xfId="795" xr:uid="{00000000-0005-0000-0000-000022030000}"/>
    <cellStyle name="STYLE3 - Style3" xfId="796" xr:uid="{00000000-0005-0000-0000-000023030000}"/>
    <cellStyle name="STYLE4 - Style4" xfId="797" xr:uid="{00000000-0005-0000-0000-000024030000}"/>
    <cellStyle name="Title 10" xfId="798" xr:uid="{00000000-0005-0000-0000-000025030000}"/>
    <cellStyle name="Title 11" xfId="799" xr:uid="{00000000-0005-0000-0000-000026030000}"/>
    <cellStyle name="Title 12" xfId="800" xr:uid="{00000000-0005-0000-0000-000027030000}"/>
    <cellStyle name="Title 13" xfId="801" xr:uid="{00000000-0005-0000-0000-000028030000}"/>
    <cellStyle name="Title 14" xfId="802" xr:uid="{00000000-0005-0000-0000-000029030000}"/>
    <cellStyle name="Title 15" xfId="803" xr:uid="{00000000-0005-0000-0000-00002A030000}"/>
    <cellStyle name="Title 16" xfId="804" xr:uid="{00000000-0005-0000-0000-00002B030000}"/>
    <cellStyle name="Title 2" xfId="805" xr:uid="{00000000-0005-0000-0000-00002C030000}"/>
    <cellStyle name="Title 3" xfId="806" xr:uid="{00000000-0005-0000-0000-00002D030000}"/>
    <cellStyle name="Title 4" xfId="807" xr:uid="{00000000-0005-0000-0000-00002E030000}"/>
    <cellStyle name="Title 5" xfId="808" xr:uid="{00000000-0005-0000-0000-00002F030000}"/>
    <cellStyle name="Title 6" xfId="809" xr:uid="{00000000-0005-0000-0000-000030030000}"/>
    <cellStyle name="Title 7" xfId="810" xr:uid="{00000000-0005-0000-0000-000031030000}"/>
    <cellStyle name="Title 8" xfId="811" xr:uid="{00000000-0005-0000-0000-000032030000}"/>
    <cellStyle name="Title 9" xfId="812" xr:uid="{00000000-0005-0000-0000-000033030000}"/>
    <cellStyle name="Total 10" xfId="813" xr:uid="{00000000-0005-0000-0000-000034030000}"/>
    <cellStyle name="Total 11" xfId="814" xr:uid="{00000000-0005-0000-0000-000035030000}"/>
    <cellStyle name="Total 12" xfId="815" xr:uid="{00000000-0005-0000-0000-000036030000}"/>
    <cellStyle name="Total 13" xfId="816" xr:uid="{00000000-0005-0000-0000-000037030000}"/>
    <cellStyle name="Total 14" xfId="817" xr:uid="{00000000-0005-0000-0000-000038030000}"/>
    <cellStyle name="Total 15" xfId="818" xr:uid="{00000000-0005-0000-0000-000039030000}"/>
    <cellStyle name="Total 16" xfId="819" xr:uid="{00000000-0005-0000-0000-00003A030000}"/>
    <cellStyle name="Total 2" xfId="820" xr:uid="{00000000-0005-0000-0000-00003B030000}"/>
    <cellStyle name="Total 3" xfId="821" xr:uid="{00000000-0005-0000-0000-00003C030000}"/>
    <cellStyle name="Total 4" xfId="822" xr:uid="{00000000-0005-0000-0000-00003D030000}"/>
    <cellStyle name="Total 5" xfId="823" xr:uid="{00000000-0005-0000-0000-00003E030000}"/>
    <cellStyle name="Total 6" xfId="824" xr:uid="{00000000-0005-0000-0000-00003F030000}"/>
    <cellStyle name="Total 7" xfId="825" xr:uid="{00000000-0005-0000-0000-000040030000}"/>
    <cellStyle name="Total 8" xfId="826" xr:uid="{00000000-0005-0000-0000-000041030000}"/>
    <cellStyle name="Total 9" xfId="827" xr:uid="{00000000-0005-0000-0000-000042030000}"/>
    <cellStyle name="Warning Text 10" xfId="828" xr:uid="{00000000-0005-0000-0000-000043030000}"/>
    <cellStyle name="Warning Text 11" xfId="829" xr:uid="{00000000-0005-0000-0000-000044030000}"/>
    <cellStyle name="Warning Text 12" xfId="830" xr:uid="{00000000-0005-0000-0000-000045030000}"/>
    <cellStyle name="Warning Text 13" xfId="831" xr:uid="{00000000-0005-0000-0000-000046030000}"/>
    <cellStyle name="Warning Text 14" xfId="832" xr:uid="{00000000-0005-0000-0000-000047030000}"/>
    <cellStyle name="Warning Text 15" xfId="833" xr:uid="{00000000-0005-0000-0000-000048030000}"/>
    <cellStyle name="Warning Text 16" xfId="834" xr:uid="{00000000-0005-0000-0000-000049030000}"/>
    <cellStyle name="Warning Text 2" xfId="835" xr:uid="{00000000-0005-0000-0000-00004A030000}"/>
    <cellStyle name="Warning Text 3" xfId="836" xr:uid="{00000000-0005-0000-0000-00004B030000}"/>
    <cellStyle name="Warning Text 4" xfId="837" xr:uid="{00000000-0005-0000-0000-00004C030000}"/>
    <cellStyle name="Warning Text 5" xfId="838" xr:uid="{00000000-0005-0000-0000-00004D030000}"/>
    <cellStyle name="Warning Text 6" xfId="839" xr:uid="{00000000-0005-0000-0000-00004E030000}"/>
    <cellStyle name="Warning Text 7" xfId="840" xr:uid="{00000000-0005-0000-0000-00004F030000}"/>
    <cellStyle name="Warning Text 8" xfId="841" xr:uid="{00000000-0005-0000-0000-000050030000}"/>
    <cellStyle name="Warning Text 9" xfId="842" xr:uid="{00000000-0005-0000-0000-000051030000}"/>
  </cellStyles>
  <dxfs count="0"/>
  <tableStyles count="0" defaultTableStyle="TableStyleMedium9" defaultPivotStyle="PivotStyleLight16"/>
  <colors>
    <mruColors>
      <color rgb="FFFFCC66"/>
      <color rgb="FFFFFF00"/>
      <color rgb="FFFFFF99"/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Revenue%20Volume%20Analysis%20Reports/2016/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  <sheetName val="12-MO Forecas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9">
          <cell r="M29">
            <v>1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L25"/>
  <sheetViews>
    <sheetView tabSelected="1" zoomScaleNormal="100" workbookViewId="0">
      <selection sqref="A1:L1"/>
    </sheetView>
  </sheetViews>
  <sheetFormatPr defaultColWidth="9.1796875" defaultRowHeight="14.5" x14ac:dyDescent="0.35"/>
  <cols>
    <col min="1" max="1" width="11" style="1" customWidth="1"/>
    <col min="2" max="2" width="14.7265625" style="1" bestFit="1" customWidth="1"/>
    <col min="3" max="7" width="9.1796875" style="1"/>
    <col min="8" max="8" width="15.1796875" style="1" customWidth="1"/>
    <col min="9" max="16384" width="9.1796875" style="1"/>
  </cols>
  <sheetData>
    <row r="1" spans="1:12" x14ac:dyDescent="0.35">
      <c r="A1" s="272" t="s">
        <v>38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3" spans="1:12" x14ac:dyDescent="0.35">
      <c r="A3" s="272" t="s">
        <v>55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5" spans="1:12" x14ac:dyDescent="0.35">
      <c r="A5" s="272" t="s">
        <v>11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7" spans="1:12" x14ac:dyDescent="0.35">
      <c r="A7" s="272" t="s">
        <v>162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</row>
    <row r="8" spans="1:12" x14ac:dyDescent="0.35">
      <c r="A8" s="2"/>
      <c r="B8" s="2"/>
      <c r="C8" s="2"/>
      <c r="D8" s="2"/>
      <c r="E8" s="2"/>
      <c r="F8" s="2"/>
      <c r="G8" s="2"/>
      <c r="H8" s="2"/>
    </row>
    <row r="9" spans="1:12" x14ac:dyDescent="0.35">
      <c r="A9" s="2"/>
      <c r="B9" s="2"/>
      <c r="C9" s="2"/>
      <c r="D9" s="2"/>
      <c r="E9" s="2"/>
      <c r="F9" s="2"/>
      <c r="G9" s="2"/>
      <c r="H9" s="2"/>
    </row>
    <row r="10" spans="1:12" x14ac:dyDescent="0.35">
      <c r="A10" s="2"/>
      <c r="B10" s="2"/>
      <c r="C10" s="2"/>
      <c r="D10" s="2"/>
      <c r="E10" s="2"/>
      <c r="F10" s="2"/>
      <c r="G10" s="2"/>
      <c r="H10" s="2"/>
    </row>
    <row r="11" spans="1:12" x14ac:dyDescent="0.35">
      <c r="A11" s="10" t="s">
        <v>39</v>
      </c>
      <c r="B11" s="2"/>
      <c r="C11" s="2"/>
      <c r="D11" s="10" t="s">
        <v>148</v>
      </c>
      <c r="E11" s="2"/>
      <c r="F11" s="2"/>
      <c r="G11" s="2"/>
      <c r="H11" s="2"/>
    </row>
    <row r="13" spans="1:12" x14ac:dyDescent="0.35">
      <c r="A13" s="11" t="s">
        <v>40</v>
      </c>
      <c r="D13" s="11" t="s">
        <v>149</v>
      </c>
    </row>
    <row r="16" spans="1:12" x14ac:dyDescent="0.35">
      <c r="A16" s="12" t="s">
        <v>41</v>
      </c>
      <c r="C16" s="271" t="s">
        <v>42</v>
      </c>
      <c r="D16" s="271"/>
      <c r="E16" s="271"/>
      <c r="F16" s="271"/>
      <c r="G16" s="271"/>
      <c r="H16" s="271"/>
      <c r="I16" s="271"/>
      <c r="J16" s="271"/>
    </row>
    <row r="18" spans="1:3" x14ac:dyDescent="0.35">
      <c r="C18" s="11"/>
    </row>
    <row r="19" spans="1:3" x14ac:dyDescent="0.35">
      <c r="A19" s="11" t="s">
        <v>56</v>
      </c>
      <c r="C19" s="11" t="s">
        <v>191</v>
      </c>
    </row>
    <row r="20" spans="1:3" x14ac:dyDescent="0.35">
      <c r="A20" s="11" t="s">
        <v>57</v>
      </c>
      <c r="C20" s="11" t="s">
        <v>192</v>
      </c>
    </row>
    <row r="21" spans="1:3" x14ac:dyDescent="0.35">
      <c r="A21" s="11" t="s">
        <v>58</v>
      </c>
      <c r="B21" s="11" t="s">
        <v>43</v>
      </c>
      <c r="C21" s="11" t="s">
        <v>193</v>
      </c>
    </row>
    <row r="22" spans="1:3" x14ac:dyDescent="0.35">
      <c r="A22" s="11" t="s">
        <v>58</v>
      </c>
      <c r="B22" s="11" t="s">
        <v>146</v>
      </c>
      <c r="C22" s="11" t="s">
        <v>194</v>
      </c>
    </row>
    <row r="24" spans="1:3" x14ac:dyDescent="0.35">
      <c r="C24" s="13"/>
    </row>
    <row r="25" spans="1:3" x14ac:dyDescent="0.35">
      <c r="C25" s="13"/>
    </row>
  </sheetData>
  <mergeCells count="5">
    <mergeCell ref="C16:J16"/>
    <mergeCell ref="A1:L1"/>
    <mergeCell ref="A3:L3"/>
    <mergeCell ref="A5:L5"/>
    <mergeCell ref="A7:L7"/>
  </mergeCells>
  <printOptions horizontalCentered="1"/>
  <pageMargins left="0.75" right="0.75" top="0.75" bottom="0.5" header="0.25" footer="0.25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I59"/>
  <sheetViews>
    <sheetView zoomScaleNormal="100" zoomScaleSheetLayoutView="85" workbookViewId="0">
      <selection sqref="A1:E1"/>
    </sheetView>
  </sheetViews>
  <sheetFormatPr defaultColWidth="9.1796875" defaultRowHeight="15.5" x14ac:dyDescent="0.35"/>
  <cols>
    <col min="1" max="1" width="65.1796875" style="6" customWidth="1"/>
    <col min="2" max="2" width="20.7265625" style="6" customWidth="1"/>
    <col min="3" max="3" width="22.7265625" style="6" customWidth="1"/>
    <col min="4" max="4" width="19.1796875" style="6" customWidth="1"/>
    <col min="5" max="5" width="15" style="6" customWidth="1"/>
    <col min="6" max="6" width="9.1796875" style="6" customWidth="1"/>
    <col min="7" max="7" width="11.81640625" style="6" customWidth="1"/>
    <col min="8" max="8" width="22.36328125" style="6" bestFit="1" customWidth="1"/>
    <col min="9" max="9" width="14.26953125" style="6" bestFit="1" customWidth="1"/>
    <col min="10" max="10" width="14" style="6" bestFit="1" customWidth="1"/>
    <col min="11" max="11" width="16.7265625" style="6" bestFit="1" customWidth="1"/>
    <col min="12" max="12" width="16.7265625" style="6" customWidth="1"/>
    <col min="13" max="13" width="15.81640625" style="6" customWidth="1"/>
    <col min="14" max="16384" width="9.1796875" style="6"/>
  </cols>
  <sheetData>
    <row r="1" spans="1:9" x14ac:dyDescent="0.35">
      <c r="A1" s="274" t="str">
        <f>Index!A5</f>
        <v>LOUISVILLE GAS AND ELECTRIC COMPANY</v>
      </c>
      <c r="B1" s="275"/>
      <c r="C1" s="275"/>
      <c r="D1" s="275"/>
      <c r="E1" s="275"/>
    </row>
    <row r="2" spans="1:9" x14ac:dyDescent="0.35">
      <c r="A2" s="275" t="str">
        <f>Index!A7</f>
        <v>CASE NO. 2020-00350</v>
      </c>
      <c r="B2" s="275"/>
      <c r="C2" s="275"/>
      <c r="D2" s="275"/>
      <c r="E2" s="275"/>
    </row>
    <row r="3" spans="1:9" x14ac:dyDescent="0.35">
      <c r="A3" s="275" t="str">
        <f>Index!C19</f>
        <v>Forecast Period Revenues at Current and Stipulated Gas Rates</v>
      </c>
      <c r="B3" s="275"/>
      <c r="C3" s="275"/>
      <c r="D3" s="275"/>
      <c r="E3" s="275"/>
    </row>
    <row r="4" spans="1:9" x14ac:dyDescent="0.35">
      <c r="A4" s="275" t="str">
        <f>Index!D13</f>
        <v>For the 12 Months Ended June 30, 2022</v>
      </c>
      <c r="B4" s="275"/>
      <c r="C4" s="275"/>
      <c r="D4" s="275"/>
      <c r="E4" s="275"/>
    </row>
    <row r="5" spans="1:9" x14ac:dyDescent="0.35">
      <c r="A5" s="274" t="s">
        <v>78</v>
      </c>
      <c r="B5" s="274"/>
      <c r="C5" s="274"/>
      <c r="D5" s="274"/>
      <c r="E5" s="274"/>
      <c r="F5" s="244"/>
    </row>
    <row r="10" spans="1:9" x14ac:dyDescent="0.35">
      <c r="A10" s="245" t="s">
        <v>59</v>
      </c>
      <c r="B10" s="246"/>
      <c r="C10" s="246"/>
      <c r="D10" s="246"/>
      <c r="E10" s="247" t="str">
        <f>"Schedule "&amp;Index!A19</f>
        <v>Schedule M-2.1-G</v>
      </c>
    </row>
    <row r="11" spans="1:9" x14ac:dyDescent="0.35">
      <c r="A11" s="246" t="s">
        <v>32</v>
      </c>
      <c r="B11" s="246"/>
      <c r="C11" s="246"/>
      <c r="D11" s="246"/>
      <c r="E11" s="247" t="s">
        <v>62</v>
      </c>
    </row>
    <row r="12" spans="1:9" x14ac:dyDescent="0.35">
      <c r="A12" s="246" t="s">
        <v>33</v>
      </c>
      <c r="B12" s="246"/>
      <c r="C12" s="246"/>
      <c r="D12" s="246"/>
      <c r="E12" s="20" t="s">
        <v>138</v>
      </c>
    </row>
    <row r="13" spans="1:9" x14ac:dyDescent="0.35">
      <c r="A13" s="246"/>
      <c r="B13" s="246"/>
      <c r="C13" s="246"/>
      <c r="D13" s="246"/>
      <c r="E13" s="247"/>
      <c r="H13" s="273" t="s">
        <v>190</v>
      </c>
      <c r="I13" s="273"/>
    </row>
    <row r="14" spans="1:9" ht="62.5" thickBot="1" x14ac:dyDescent="0.4">
      <c r="A14" s="248" t="s">
        <v>7</v>
      </c>
      <c r="B14" s="249" t="s">
        <v>186</v>
      </c>
      <c r="C14" s="249" t="s">
        <v>195</v>
      </c>
      <c r="D14" s="250" t="s">
        <v>66</v>
      </c>
      <c r="E14" s="250" t="s">
        <v>67</v>
      </c>
      <c r="H14" s="250" t="s">
        <v>66</v>
      </c>
      <c r="I14" s="250" t="s">
        <v>67</v>
      </c>
    </row>
    <row r="15" spans="1:9" x14ac:dyDescent="0.35">
      <c r="A15" s="251"/>
      <c r="B15" s="251"/>
      <c r="C15" s="251"/>
      <c r="D15" s="251"/>
      <c r="E15" s="251"/>
      <c r="H15" s="251"/>
      <c r="I15" s="251"/>
    </row>
    <row r="16" spans="1:9" x14ac:dyDescent="0.35">
      <c r="A16" s="252" t="s">
        <v>97</v>
      </c>
      <c r="B16" s="177">
        <f>'Sch M-2.2-G'!E13</f>
        <v>238109178.33958614</v>
      </c>
      <c r="C16" s="177">
        <f>'Sch M-2.2-G'!H13</f>
        <v>253370445.29649487</v>
      </c>
      <c r="D16" s="177">
        <f>C16-B16</f>
        <v>15261266.956908733</v>
      </c>
      <c r="E16" s="253">
        <f>D16/B16</f>
        <v>6.4093568602985332E-2</v>
      </c>
      <c r="H16" s="177">
        <v>22318157.67742309</v>
      </c>
      <c r="I16" s="253">
        <v>9.3730774399605116E-2</v>
      </c>
    </row>
    <row r="17" spans="1:9" x14ac:dyDescent="0.35">
      <c r="A17" s="252"/>
      <c r="B17" s="177"/>
      <c r="C17" s="177"/>
      <c r="D17" s="177"/>
      <c r="E17" s="253"/>
      <c r="H17" s="177"/>
      <c r="I17" s="253"/>
    </row>
    <row r="18" spans="1:9" x14ac:dyDescent="0.35">
      <c r="A18" s="252" t="s">
        <v>44</v>
      </c>
      <c r="B18" s="177">
        <f>'Sch M-2.2-G'!E15</f>
        <v>101117045.84079324</v>
      </c>
      <c r="C18" s="177">
        <f>'Sch M-2.2-G'!H15</f>
        <v>107598638.96020153</v>
      </c>
      <c r="D18" s="177">
        <f>C18-B18</f>
        <v>6481593.1194082946</v>
      </c>
      <c r="E18" s="253">
        <f>D18/B18</f>
        <v>6.4099905861702416E-2</v>
      </c>
      <c r="H18" s="177">
        <v>4911902.1209249049</v>
      </c>
      <c r="I18" s="253">
        <v>4.8576400547328057E-2</v>
      </c>
    </row>
    <row r="19" spans="1:9" x14ac:dyDescent="0.35">
      <c r="A19" s="252"/>
      <c r="B19" s="177"/>
      <c r="C19" s="177"/>
      <c r="D19" s="177"/>
      <c r="E19" s="253"/>
      <c r="H19" s="177"/>
      <c r="I19" s="253"/>
    </row>
    <row r="20" spans="1:9" x14ac:dyDescent="0.35">
      <c r="A20" s="252" t="s">
        <v>45</v>
      </c>
      <c r="B20" s="177">
        <f>'Sch M-2.2-G'!E17</f>
        <v>8468985.0628818572</v>
      </c>
      <c r="C20" s="177">
        <f>'Sch M-2.2-G'!H17</f>
        <v>8468979.3310661763</v>
      </c>
      <c r="D20" s="177">
        <f t="shared" ref="D20:D34" si="0">C20-B20</f>
        <v>-5.7318156808614731</v>
      </c>
      <c r="E20" s="253">
        <f t="shared" ref="E20:E36" si="1">D20/B20</f>
        <v>-6.7680077816916464E-7</v>
      </c>
      <c r="F20" s="101"/>
      <c r="H20" s="177">
        <v>-5.7318156808614731</v>
      </c>
      <c r="I20" s="253">
        <v>-6.7680077816916464E-7</v>
      </c>
    </row>
    <row r="21" spans="1:9" x14ac:dyDescent="0.35">
      <c r="A21" s="252"/>
      <c r="B21" s="177"/>
      <c r="C21" s="177"/>
      <c r="D21" s="177"/>
      <c r="E21" s="253"/>
      <c r="H21" s="177"/>
      <c r="I21" s="253"/>
    </row>
    <row r="22" spans="1:9" x14ac:dyDescent="0.35">
      <c r="A22" s="252" t="s">
        <v>14</v>
      </c>
      <c r="B22" s="177">
        <f>'Sch M-2.2-G'!E19</f>
        <v>419669.73362870113</v>
      </c>
      <c r="C22" s="177">
        <f>'Sch M-2.2-G'!H19</f>
        <v>518485.11468401557</v>
      </c>
      <c r="D22" s="177">
        <f t="shared" si="0"/>
        <v>98815.381055314443</v>
      </c>
      <c r="E22" s="253">
        <f t="shared" si="1"/>
        <v>0.23545987031492824</v>
      </c>
      <c r="H22" s="177">
        <v>109485.99934048398</v>
      </c>
      <c r="I22" s="253">
        <v>0.26088609820347608</v>
      </c>
    </row>
    <row r="23" spans="1:9" x14ac:dyDescent="0.35">
      <c r="A23" s="252"/>
      <c r="B23" s="177"/>
      <c r="C23" s="177"/>
      <c r="D23" s="177"/>
      <c r="E23" s="253"/>
      <c r="H23" s="177"/>
      <c r="I23" s="253"/>
    </row>
    <row r="24" spans="1:9" x14ac:dyDescent="0.35">
      <c r="A24" s="252" t="s">
        <v>47</v>
      </c>
      <c r="B24" s="177">
        <f>'Sch M-2.2-G'!E21</f>
        <v>6618455.0814806847</v>
      </c>
      <c r="C24" s="177">
        <f>'Sch M-2.2-G'!H21</f>
        <v>8967640.5879930165</v>
      </c>
      <c r="D24" s="177">
        <f>C24-B24</f>
        <v>2349185.5065123318</v>
      </c>
      <c r="E24" s="253">
        <f>D24/B24</f>
        <v>0.35494469292171588</v>
      </c>
      <c r="H24" s="177">
        <v>2630877.1726795798</v>
      </c>
      <c r="I24" s="253">
        <v>0.39750623677134611</v>
      </c>
    </row>
    <row r="25" spans="1:9" x14ac:dyDescent="0.35">
      <c r="A25" s="252"/>
      <c r="B25" s="177"/>
      <c r="C25" s="177"/>
      <c r="D25" s="177"/>
      <c r="E25" s="253"/>
      <c r="H25" s="177"/>
      <c r="I25" s="253"/>
    </row>
    <row r="26" spans="1:9" x14ac:dyDescent="0.35">
      <c r="A26" s="252" t="s">
        <v>46</v>
      </c>
      <c r="B26" s="177">
        <f>'Sch M-2.2-G'!E23</f>
        <v>3215354.9125029081</v>
      </c>
      <c r="C26" s="177">
        <f>'Sch M-2.2-G'!H23</f>
        <v>3216946.4318057303</v>
      </c>
      <c r="D26" s="177">
        <f>C26-B26</f>
        <v>1591.5193028221838</v>
      </c>
      <c r="E26" s="253">
        <f t="shared" si="1"/>
        <v>4.9497469054926428E-4</v>
      </c>
      <c r="H26" s="177">
        <v>1591.5193028221838</v>
      </c>
      <c r="I26" s="253">
        <v>4.9497469054926428E-4</v>
      </c>
    </row>
    <row r="27" spans="1:9" x14ac:dyDescent="0.35">
      <c r="A27" s="252"/>
      <c r="B27" s="177"/>
      <c r="C27" s="177"/>
      <c r="D27" s="177"/>
      <c r="E27" s="253"/>
      <c r="H27" s="177"/>
      <c r="I27" s="253"/>
    </row>
    <row r="28" spans="1:9" x14ac:dyDescent="0.35">
      <c r="A28" s="252" t="s">
        <v>48</v>
      </c>
      <c r="B28" s="178">
        <f>'Sch M-2.2-G'!E25</f>
        <v>19923.311654553214</v>
      </c>
      <c r="C28" s="178">
        <f>'Sch M-2.2-G'!H25</f>
        <v>18029.647033508594</v>
      </c>
      <c r="D28" s="178">
        <f t="shared" si="0"/>
        <v>-1893.6646210446197</v>
      </c>
      <c r="E28" s="253">
        <f t="shared" si="1"/>
        <v>-9.5047683531660626E-2</v>
      </c>
      <c r="H28" s="178">
        <v>-1893.6646210446197</v>
      </c>
      <c r="I28" s="253">
        <v>-9.5047683531660626E-2</v>
      </c>
    </row>
    <row r="29" spans="1:9" x14ac:dyDescent="0.35">
      <c r="A29" s="252"/>
      <c r="B29" s="178"/>
      <c r="C29" s="178"/>
      <c r="D29" s="178"/>
      <c r="E29" s="253"/>
      <c r="H29" s="178"/>
      <c r="I29" s="253"/>
    </row>
    <row r="30" spans="1:9" x14ac:dyDescent="0.35">
      <c r="A30" s="252" t="s">
        <v>102</v>
      </c>
      <c r="B30" s="178">
        <f>'Sch M-2.2-G'!E27</f>
        <v>190395.11499107716</v>
      </c>
      <c r="C30" s="178">
        <f>'Sch M-2.2-G'!H27</f>
        <v>190684.93326060101</v>
      </c>
      <c r="D30" s="178">
        <f t="shared" si="0"/>
        <v>289.81826952385018</v>
      </c>
      <c r="E30" s="253">
        <f>IF(B30=0,0,D30/B30)</f>
        <v>1.52219383116753E-3</v>
      </c>
      <c r="H30" s="178">
        <v>9169.8182695238502</v>
      </c>
      <c r="I30" s="253">
        <v>4.8162045911490911E-2</v>
      </c>
    </row>
    <row r="31" spans="1:9" x14ac:dyDescent="0.35">
      <c r="A31" s="252"/>
      <c r="B31" s="178"/>
      <c r="C31" s="178"/>
      <c r="D31" s="178"/>
      <c r="E31" s="253"/>
      <c r="H31" s="178"/>
      <c r="I31" s="253"/>
    </row>
    <row r="32" spans="1:9" x14ac:dyDescent="0.35">
      <c r="A32" s="252" t="s">
        <v>103</v>
      </c>
      <c r="B32" s="178">
        <f>'Sch M-2.2-G'!E29</f>
        <v>0</v>
      </c>
      <c r="C32" s="178">
        <f>'Sch M-2.2-G'!H29</f>
        <v>0</v>
      </c>
      <c r="D32" s="178">
        <f t="shared" si="0"/>
        <v>0</v>
      </c>
      <c r="E32" s="253">
        <f>IF(B32=0,0,D32/B32)</f>
        <v>0</v>
      </c>
      <c r="H32" s="178">
        <v>0</v>
      </c>
      <c r="I32" s="253">
        <v>0</v>
      </c>
    </row>
    <row r="33" spans="1:9" x14ac:dyDescent="0.35">
      <c r="A33" s="252"/>
      <c r="B33" s="178"/>
      <c r="C33" s="178"/>
      <c r="D33" s="178"/>
      <c r="E33" s="253"/>
      <c r="H33" s="178"/>
      <c r="I33" s="253"/>
    </row>
    <row r="34" spans="1:9" x14ac:dyDescent="0.35">
      <c r="A34" s="252" t="s">
        <v>104</v>
      </c>
      <c r="B34" s="178">
        <f>'Sch M-2.2-G'!E31</f>
        <v>0</v>
      </c>
      <c r="C34" s="178">
        <f>'Sch M-2.2-G'!H31</f>
        <v>0</v>
      </c>
      <c r="D34" s="178">
        <f t="shared" si="0"/>
        <v>0</v>
      </c>
      <c r="E34" s="253">
        <f>IF(B34=0,0,D34/B34)</f>
        <v>0</v>
      </c>
      <c r="H34" s="178">
        <v>0</v>
      </c>
      <c r="I34" s="253">
        <v>0</v>
      </c>
    </row>
    <row r="35" spans="1:9" x14ac:dyDescent="0.35">
      <c r="A35" s="252"/>
      <c r="B35" s="178"/>
      <c r="C35" s="178"/>
      <c r="D35" s="178"/>
      <c r="E35" s="254"/>
      <c r="H35" s="178"/>
      <c r="I35" s="254"/>
    </row>
    <row r="36" spans="1:9" x14ac:dyDescent="0.35">
      <c r="A36" s="162" t="s">
        <v>72</v>
      </c>
      <c r="B36" s="255">
        <f>SUM(B16:B34)</f>
        <v>358159007.39751911</v>
      </c>
      <c r="C36" s="255">
        <f>SUM(C16:C34)</f>
        <v>382349850.30253953</v>
      </c>
      <c r="D36" s="255">
        <f>SUM(D16:D34)</f>
        <v>24190842.905020297</v>
      </c>
      <c r="E36" s="256">
        <f t="shared" si="1"/>
        <v>6.754218770260044E-2</v>
      </c>
      <c r="G36" s="257"/>
      <c r="H36" s="255">
        <f>SUM(H16:H34)</f>
        <v>29979284.911503684</v>
      </c>
      <c r="I36" s="256">
        <v>8.3703841847623306E-2</v>
      </c>
    </row>
    <row r="37" spans="1:9" x14ac:dyDescent="0.35">
      <c r="G37" s="257"/>
      <c r="H37" s="257"/>
    </row>
    <row r="38" spans="1:9" x14ac:dyDescent="0.35">
      <c r="A38" s="252" t="s">
        <v>73</v>
      </c>
    </row>
    <row r="39" spans="1:9" x14ac:dyDescent="0.35">
      <c r="A39" s="258" t="s">
        <v>132</v>
      </c>
      <c r="B39" s="159">
        <v>1097666.818</v>
      </c>
      <c r="C39" s="159">
        <f>B39+D39</f>
        <v>1097666.818</v>
      </c>
      <c r="D39" s="178">
        <v>0</v>
      </c>
      <c r="E39" s="253">
        <f>D39/B39</f>
        <v>0</v>
      </c>
    </row>
    <row r="40" spans="1:9" x14ac:dyDescent="0.35">
      <c r="A40" s="258" t="s">
        <v>29</v>
      </c>
      <c r="B40" s="159">
        <v>96475.293333333349</v>
      </c>
      <c r="C40" s="159">
        <f>B40+D40</f>
        <v>105244.27189898548</v>
      </c>
      <c r="D40" s="177">
        <f>D58</f>
        <v>8768.9785656521253</v>
      </c>
      <c r="E40" s="253">
        <f t="shared" ref="E40:E42" si="2">D40/B40</f>
        <v>9.0893515455343424E-2</v>
      </c>
    </row>
    <row r="41" spans="1:9" x14ac:dyDescent="0.35">
      <c r="A41" s="258" t="s">
        <v>74</v>
      </c>
      <c r="B41" s="159">
        <v>164430</v>
      </c>
      <c r="C41" s="159">
        <f>B41+D41</f>
        <v>164430</v>
      </c>
      <c r="D41" s="177">
        <v>0</v>
      </c>
      <c r="E41" s="253">
        <f t="shared" si="2"/>
        <v>0</v>
      </c>
    </row>
    <row r="42" spans="1:9" x14ac:dyDescent="0.35">
      <c r="A42" s="258" t="s">
        <v>28</v>
      </c>
      <c r="B42" s="159">
        <v>14336.580000000004</v>
      </c>
      <c r="C42" s="159">
        <f>B42+D42</f>
        <v>14336.580000000004</v>
      </c>
      <c r="D42" s="177">
        <v>0</v>
      </c>
      <c r="E42" s="253">
        <f t="shared" si="2"/>
        <v>0</v>
      </c>
    </row>
    <row r="43" spans="1:9" x14ac:dyDescent="0.35">
      <c r="B43" s="101"/>
    </row>
    <row r="44" spans="1:9" ht="16" thickBot="1" x14ac:dyDescent="0.4">
      <c r="A44" s="162" t="s">
        <v>12</v>
      </c>
      <c r="B44" s="259">
        <f>SUM(B36:B42)</f>
        <v>359531916.08885247</v>
      </c>
      <c r="C44" s="259">
        <f>SUM(C36:C42)</f>
        <v>383731527.97243851</v>
      </c>
      <c r="D44" s="259">
        <f>SUM(D36:D42)</f>
        <v>24199611.883585948</v>
      </c>
      <c r="E44" s="260">
        <f t="shared" ref="E44" si="3">D44/B44</f>
        <v>6.7308661069203676E-2</v>
      </c>
    </row>
    <row r="45" spans="1:9" ht="16" thickTop="1" x14ac:dyDescent="0.35"/>
    <row r="46" spans="1:9" x14ac:dyDescent="0.35">
      <c r="B46" s="6" t="s">
        <v>203</v>
      </c>
      <c r="C46" s="261">
        <v>24200000</v>
      </c>
      <c r="E46" s="101"/>
      <c r="H46" s="6" t="s">
        <v>136</v>
      </c>
      <c r="I46" s="261">
        <v>29989470.429961819</v>
      </c>
    </row>
    <row r="47" spans="1:9" x14ac:dyDescent="0.35">
      <c r="B47" s="6" t="s">
        <v>137</v>
      </c>
      <c r="C47" s="243">
        <f>-SUM(D39:D42)</f>
        <v>-8768.9785656521253</v>
      </c>
      <c r="H47" s="6" t="s">
        <v>137</v>
      </c>
      <c r="I47" s="243">
        <f>-SUM(D39:D42)</f>
        <v>-8768.9785656521253</v>
      </c>
    </row>
    <row r="48" spans="1:9" x14ac:dyDescent="0.35">
      <c r="B48" s="6" t="s">
        <v>175</v>
      </c>
      <c r="C48" s="243">
        <f>SUM(C46:C47)</f>
        <v>24191231.021434348</v>
      </c>
      <c r="H48" s="6" t="s">
        <v>175</v>
      </c>
      <c r="I48" s="243">
        <f>SUM(I46:I47)</f>
        <v>29980701.451396167</v>
      </c>
    </row>
    <row r="49" spans="2:9" x14ac:dyDescent="0.35">
      <c r="B49" s="6" t="s">
        <v>176</v>
      </c>
      <c r="C49" s="243">
        <f>D36-C48</f>
        <v>-388.11641405150294</v>
      </c>
      <c r="H49" s="6" t="s">
        <v>176</v>
      </c>
      <c r="I49" s="243">
        <f>H36-I48</f>
        <v>-1416.5398924835026</v>
      </c>
    </row>
    <row r="51" spans="2:9" ht="18.5" x14ac:dyDescent="0.65">
      <c r="B51" s="262" t="s">
        <v>141</v>
      </c>
      <c r="C51" s="161"/>
      <c r="D51" s="263" t="s">
        <v>10</v>
      </c>
    </row>
    <row r="52" spans="2:9" x14ac:dyDescent="0.35">
      <c r="B52" s="264" t="s">
        <v>142</v>
      </c>
      <c r="C52" s="161"/>
      <c r="D52" s="265">
        <v>0</v>
      </c>
    </row>
    <row r="53" spans="2:9" x14ac:dyDescent="0.35">
      <c r="B53" s="264" t="s">
        <v>143</v>
      </c>
      <c r="C53" s="161"/>
      <c r="D53" s="265">
        <f>513.38+46.48</f>
        <v>559.86</v>
      </c>
    </row>
    <row r="54" spans="2:9" x14ac:dyDescent="0.35">
      <c r="B54" s="264" t="s">
        <v>144</v>
      </c>
      <c r="C54" s="161"/>
      <c r="D54" s="265">
        <v>2382.1185656521257</v>
      </c>
    </row>
    <row r="55" spans="2:9" x14ac:dyDescent="0.35">
      <c r="B55" s="264" t="s">
        <v>179</v>
      </c>
      <c r="C55" s="161"/>
      <c r="D55" s="265">
        <v>-4977</v>
      </c>
    </row>
    <row r="56" spans="2:9" x14ac:dyDescent="0.35">
      <c r="B56" s="264" t="s">
        <v>145</v>
      </c>
      <c r="C56" s="161"/>
      <c r="D56" s="266">
        <v>0</v>
      </c>
    </row>
    <row r="57" spans="2:9" x14ac:dyDescent="0.35">
      <c r="B57" s="264" t="s">
        <v>180</v>
      </c>
      <c r="C57" s="161"/>
      <c r="D57" s="267">
        <v>10804</v>
      </c>
    </row>
    <row r="58" spans="2:9" ht="17" x14ac:dyDescent="0.5">
      <c r="B58" s="161"/>
      <c r="C58" s="161"/>
      <c r="D58" s="268">
        <f>SUM(D52:D57)</f>
        <v>8768.9785656521253</v>
      </c>
      <c r="E58" s="269"/>
    </row>
    <row r="59" spans="2:9" x14ac:dyDescent="0.35">
      <c r="B59" s="269"/>
      <c r="C59" s="269"/>
      <c r="D59" s="269"/>
    </row>
  </sheetData>
  <mergeCells count="6">
    <mergeCell ref="H13:I13"/>
    <mergeCell ref="A1:E1"/>
    <mergeCell ref="A2:E2"/>
    <mergeCell ref="A3:E3"/>
    <mergeCell ref="A4:E4"/>
    <mergeCell ref="A5:E5"/>
  </mergeCells>
  <printOptions horizontalCentered="1"/>
  <pageMargins left="0.75" right="0.75" top="1" bottom="0.75" header="0.75" footer="0.25"/>
  <pageSetup scale="67" orientation="landscape" r:id="rId1"/>
  <headerFooter scaleWithDoc="0">
    <oddHeader xml:space="preserve">&amp;C&amp;"Times New Roman,Bold"&amp;12
</oddHeader>
    <oddFooter>&amp;R&amp;"Times New Roman,Bold"&amp;12Stipulation Exhibit 4
Page 1 of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Q130"/>
  <sheetViews>
    <sheetView zoomScaleNormal="100" workbookViewId="0">
      <selection sqref="A1:K1"/>
    </sheetView>
  </sheetViews>
  <sheetFormatPr defaultColWidth="9.1796875" defaultRowHeight="15.5" x14ac:dyDescent="0.35"/>
  <cols>
    <col min="1" max="1" width="68.1796875" style="5" bestFit="1" customWidth="1"/>
    <col min="2" max="2" width="16" style="5" customWidth="1"/>
    <col min="3" max="3" width="19" style="5" bestFit="1" customWidth="1"/>
    <col min="4" max="4" width="16.81640625" style="5" customWidth="1"/>
    <col min="5" max="5" width="23" style="5" bestFit="1" customWidth="1"/>
    <col min="6" max="6" width="23.453125" style="5" bestFit="1" customWidth="1"/>
    <col min="7" max="7" width="22" style="5" bestFit="1" customWidth="1"/>
    <col min="8" max="8" width="23" style="5" bestFit="1" customWidth="1"/>
    <col min="9" max="9" width="22.54296875" style="5" bestFit="1" customWidth="1"/>
    <col min="10" max="10" width="15.7265625" style="5" customWidth="1"/>
    <col min="11" max="11" width="18.7265625" style="5" customWidth="1"/>
    <col min="12" max="12" width="4.1796875" style="5" customWidth="1"/>
    <col min="13" max="13" width="12.54296875" style="5" customWidth="1"/>
    <col min="14" max="14" width="16" style="5" bestFit="1" customWidth="1"/>
    <col min="15" max="15" width="15.81640625" style="5" bestFit="1" customWidth="1"/>
    <col min="16" max="16" width="12.453125" style="5" bestFit="1" customWidth="1"/>
    <col min="17" max="17" width="8.26953125" style="5" bestFit="1" customWidth="1"/>
    <col min="18" max="16384" width="9.1796875" style="5"/>
  </cols>
  <sheetData>
    <row r="1" spans="1:17" x14ac:dyDescent="0.35">
      <c r="A1" s="272" t="str">
        <f>Index!A5</f>
        <v>LOUISVILLE GAS AND ELECTRIC COMPANY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7" x14ac:dyDescent="0.35">
      <c r="A2" s="276" t="str">
        <f>Index!A7</f>
        <v>CASE NO. 2020-00350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7" x14ac:dyDescent="0.35">
      <c r="A3" s="276" t="str">
        <f>Index!C20</f>
        <v>Average Bill Comparison at Current and Stipulated Gas Rates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7" x14ac:dyDescent="0.35">
      <c r="A4" s="276" t="str">
        <f>Index!D13</f>
        <v>For the 12 Months Ended June 30, 2022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7" x14ac:dyDescent="0.35">
      <c r="A5" s="276" t="str">
        <f>'Sch M-2.1-G'!A5:E5</f>
        <v>Gas Operations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7" spans="1:17" x14ac:dyDescent="0.35">
      <c r="A7" s="137" t="str">
        <f>'Sch M-2.1-G'!A10</f>
        <v>DATA:  ____ BASE PERIOD  __X__  FORECAST PERIOD</v>
      </c>
      <c r="K7" s="138" t="str">
        <f>"Schedule "&amp;Index!A20</f>
        <v>Schedule M-2.2-G</v>
      </c>
      <c r="L7" s="138"/>
    </row>
    <row r="8" spans="1:17" x14ac:dyDescent="0.35">
      <c r="A8" s="139" t="str">
        <f>'Sch M-2.1-G'!A11</f>
        <v>TYPE OF FILING: __X__ ORIGINAL  _____ UPDATED  _____ REVISED</v>
      </c>
      <c r="K8" s="140" t="s">
        <v>62</v>
      </c>
      <c r="L8" s="138"/>
    </row>
    <row r="9" spans="1:17" x14ac:dyDescent="0.35">
      <c r="A9" s="139" t="str">
        <f>'Sch M-2.1-G'!A12</f>
        <v>WORK PAPER REFERENCE NO(S):</v>
      </c>
      <c r="J9" s="140"/>
      <c r="K9" s="121" t="s">
        <v>138</v>
      </c>
      <c r="L9" s="140"/>
    </row>
    <row r="10" spans="1:17" x14ac:dyDescent="0.35">
      <c r="A10" s="139"/>
      <c r="L10" s="140"/>
    </row>
    <row r="11" spans="1:17" ht="68.25" customHeight="1" thickBot="1" x14ac:dyDescent="0.4">
      <c r="A11" s="141"/>
      <c r="B11" s="142" t="s">
        <v>49</v>
      </c>
      <c r="C11" s="142" t="s">
        <v>68</v>
      </c>
      <c r="D11" s="142" t="s">
        <v>151</v>
      </c>
      <c r="E11" s="142" t="s">
        <v>50</v>
      </c>
      <c r="F11" s="143" t="s">
        <v>51</v>
      </c>
      <c r="G11" s="143" t="s">
        <v>63</v>
      </c>
      <c r="H11" s="142" t="s">
        <v>196</v>
      </c>
      <c r="I11" s="142" t="s">
        <v>202</v>
      </c>
      <c r="J11" s="142" t="s">
        <v>64</v>
      </c>
      <c r="K11" s="142" t="s">
        <v>65</v>
      </c>
      <c r="L11" s="144"/>
      <c r="M11" s="191" t="s">
        <v>147</v>
      </c>
      <c r="N11" s="1"/>
      <c r="O11" s="1"/>
    </row>
    <row r="12" spans="1:17" x14ac:dyDescent="0.35">
      <c r="B12" s="145"/>
      <c r="C12" s="145"/>
      <c r="D12" s="145"/>
      <c r="E12" s="146"/>
      <c r="F12" s="126"/>
      <c r="G12" s="126"/>
      <c r="H12" s="146"/>
      <c r="I12" s="147"/>
      <c r="J12" s="146"/>
      <c r="K12" s="146"/>
      <c r="L12" s="146"/>
      <c r="M12" s="1"/>
      <c r="N12" s="1"/>
      <c r="O12" s="1"/>
    </row>
    <row r="13" spans="1:17" x14ac:dyDescent="0.35">
      <c r="A13" s="148" t="s">
        <v>97</v>
      </c>
      <c r="B13" s="149">
        <v>3619902</v>
      </c>
      <c r="C13" s="149">
        <f>'Sch M-2.3 Pg. 2-11'!F20</f>
        <v>19501502.014204904</v>
      </c>
      <c r="D13" s="150">
        <f>ROUND(C13/B13,3)</f>
        <v>5.3869999999999996</v>
      </c>
      <c r="E13" s="128">
        <f>'Sch M-2.3 Pg. 2-11'!I33</f>
        <v>238109178.33958614</v>
      </c>
      <c r="F13" s="151">
        <f>(E13/C13)*D13</f>
        <v>65.774120515488264</v>
      </c>
      <c r="G13" s="128">
        <f>'Sch M-2.3 Pg.1'!H15</f>
        <v>15261266.956908733</v>
      </c>
      <c r="H13" s="128">
        <f>'Sch M-2.3 Pg. 2-11'!N33</f>
        <v>253370445.29649487</v>
      </c>
      <c r="I13" s="152">
        <f>(H13/C13)*D13</f>
        <v>69.989818621048727</v>
      </c>
      <c r="J13" s="153">
        <f>I13-F13</f>
        <v>4.2156981055604632</v>
      </c>
      <c r="K13" s="130">
        <f>J13/F13</f>
        <v>6.4093568602985193E-2</v>
      </c>
      <c r="L13" s="115"/>
      <c r="M13" s="190">
        <f>J13*12/365.25</f>
        <v>0.13850342851944028</v>
      </c>
      <c r="N13" s="1"/>
      <c r="O13" s="1"/>
    </row>
    <row r="14" spans="1:17" x14ac:dyDescent="0.35">
      <c r="A14" s="148"/>
      <c r="B14" s="149"/>
      <c r="C14" s="149"/>
      <c r="D14" s="150"/>
      <c r="E14" s="128"/>
      <c r="F14" s="151"/>
      <c r="G14" s="128"/>
      <c r="H14" s="128"/>
      <c r="I14" s="152"/>
      <c r="J14" s="153"/>
      <c r="K14" s="153"/>
      <c r="L14" s="74"/>
      <c r="M14" s="1"/>
      <c r="N14" s="1"/>
      <c r="O14" s="1"/>
    </row>
    <row r="15" spans="1:17" x14ac:dyDescent="0.35">
      <c r="A15" s="148" t="s">
        <v>44</v>
      </c>
      <c r="B15" s="149">
        <v>308870</v>
      </c>
      <c r="C15" s="149">
        <f>'Sch M-2.3 Pg. 2-11'!F46+'Sch M-2.3 Pg. 2-11'!G47+'Sch M-2.3 Pg. 2-11'!F59+'Sch M-2.3 Pg. 2-11'!G60</f>
        <v>10409091.501879076</v>
      </c>
      <c r="D15" s="150">
        <f>ROUND(C15/B15,3)</f>
        <v>33.701000000000001</v>
      </c>
      <c r="E15" s="128">
        <f>'Sch M-2.3 Pg. 2-11'!I76</f>
        <v>101117045.84079324</v>
      </c>
      <c r="F15" s="151">
        <f>(E15/C15)*D15</f>
        <v>327.38165105623273</v>
      </c>
      <c r="G15" s="128">
        <f>'Sch M-2.3 Pg.1'!H17</f>
        <v>6481593.1194082946</v>
      </c>
      <c r="H15" s="128">
        <f>'Sch M-2.3 Pg. 2-11'!N76</f>
        <v>107598638.96020153</v>
      </c>
      <c r="I15" s="152">
        <f>(H15/C15)*D15</f>
        <v>348.36678406978592</v>
      </c>
      <c r="J15" s="153">
        <f>I15-F15</f>
        <v>20.985133013553195</v>
      </c>
      <c r="K15" s="130">
        <f>J15/F15</f>
        <v>6.4099905861702319E-2</v>
      </c>
      <c r="L15" s="115"/>
      <c r="M15" s="190">
        <f>J15*12/365.25</f>
        <v>0.68944995527074149</v>
      </c>
      <c r="N15" s="1"/>
      <c r="O15" s="1"/>
      <c r="Q15" s="54"/>
    </row>
    <row r="16" spans="1:17" x14ac:dyDescent="0.35">
      <c r="A16" s="148"/>
      <c r="B16" s="149"/>
      <c r="C16" s="149"/>
      <c r="D16" s="150"/>
      <c r="E16" s="128"/>
      <c r="F16" s="151"/>
      <c r="G16" s="128"/>
      <c r="H16" s="128"/>
      <c r="I16" s="152"/>
      <c r="J16" s="153"/>
      <c r="K16" s="153"/>
      <c r="L16" s="74"/>
      <c r="M16" s="1"/>
      <c r="N16" s="1"/>
      <c r="O16" s="1"/>
      <c r="Q16" s="54"/>
    </row>
    <row r="17" spans="1:15" x14ac:dyDescent="0.35">
      <c r="A17" s="148" t="s">
        <v>45</v>
      </c>
      <c r="B17" s="154">
        <v>2493</v>
      </c>
      <c r="C17" s="154">
        <f>'Sch M-2.3 Pg. 2-11'!F88+'Sch M-2.3 Pg. 2-11'!G89+'Sch M-2.3 Pg. 2-11'!F100+'Sch M-2.3 Pg. 2-11'!G101</f>
        <v>1393173.6317613169</v>
      </c>
      <c r="D17" s="150">
        <f>ROUND(C17/B17,3)</f>
        <v>558.83399999999995</v>
      </c>
      <c r="E17" s="131">
        <f>'Sch M-2.3 Pg. 2-11'!I117</f>
        <v>8468985.0628818572</v>
      </c>
      <c r="F17" s="151">
        <f>(E17/C17)*D17</f>
        <v>3397.1047762705225</v>
      </c>
      <c r="G17" s="128">
        <f>'Sch M-2.3 Pg.1'!H19</f>
        <v>-5.7318156808614731</v>
      </c>
      <c r="H17" s="128">
        <f>'Sch M-2.3 Pg. 2-11'!N117</f>
        <v>8468979.3310661763</v>
      </c>
      <c r="I17" s="152">
        <f>(H17/C17)*D17</f>
        <v>3397.1024771073662</v>
      </c>
      <c r="J17" s="153">
        <f>I17-F17</f>
        <v>-2.2991631562945258E-3</v>
      </c>
      <c r="K17" s="130">
        <f>J17/F17</f>
        <v>-6.768007782258159E-7</v>
      </c>
      <c r="L17" s="115"/>
      <c r="M17" s="190">
        <f>J17*12/365.25</f>
        <v>-7.5537187886473122E-5</v>
      </c>
      <c r="N17" s="1"/>
      <c r="O17" s="1"/>
    </row>
    <row r="18" spans="1:15" x14ac:dyDescent="0.35">
      <c r="A18" s="148"/>
      <c r="B18" s="154"/>
      <c r="C18" s="154"/>
      <c r="D18" s="155"/>
      <c r="E18" s="131"/>
      <c r="F18" s="152"/>
      <c r="G18" s="128"/>
      <c r="H18" s="128"/>
      <c r="I18" s="152"/>
      <c r="J18" s="153"/>
      <c r="K18" s="153"/>
      <c r="L18" s="74"/>
      <c r="M18" s="1"/>
      <c r="N18" s="1"/>
      <c r="O18" s="1"/>
    </row>
    <row r="19" spans="1:15" x14ac:dyDescent="0.35">
      <c r="A19" s="148" t="s">
        <v>14</v>
      </c>
      <c r="B19" s="154">
        <f>'Sch M-2.3 Pg. 2-11'!E126+'Sch M-2.3 Pg. 2-11'!E133</f>
        <v>36</v>
      </c>
      <c r="C19" s="154">
        <f>'Sch M-2.3 Pg. 2-11'!F127+'Sch M-2.3 Pg. 2-11'!F136</f>
        <v>149658.04046521007</v>
      </c>
      <c r="D19" s="150">
        <f>ROUND(C19/B19,3)</f>
        <v>4157.1679999999997</v>
      </c>
      <c r="E19" s="131">
        <f>'Sch M-2.3 Pg. 2-11'!I152</f>
        <v>419669.73362870113</v>
      </c>
      <c r="F19" s="151">
        <f>(E19/C19)*D19</f>
        <v>11657.49318771365</v>
      </c>
      <c r="G19" s="128">
        <f>'Sch M-2.3 Pg.1'!H21</f>
        <v>98815.381055314443</v>
      </c>
      <c r="H19" s="128">
        <f>'Sch M-2.3 Pg. 2-11'!N152</f>
        <v>518485.11468401557</v>
      </c>
      <c r="I19" s="152">
        <f>(H19/C19)*D19</f>
        <v>14402.365021889866</v>
      </c>
      <c r="J19" s="153">
        <f>I19-F19</f>
        <v>2744.871834176216</v>
      </c>
      <c r="K19" s="130">
        <f>J19/F19</f>
        <v>0.23545987031492829</v>
      </c>
      <c r="L19" s="115"/>
      <c r="M19" s="190">
        <f>J19*12/365.25</f>
        <v>90.180594141313051</v>
      </c>
      <c r="N19" s="1"/>
      <c r="O19" s="1"/>
    </row>
    <row r="20" spans="1:15" x14ac:dyDescent="0.35">
      <c r="A20" s="148"/>
      <c r="B20" s="154"/>
      <c r="C20" s="154"/>
      <c r="D20" s="155"/>
      <c r="E20" s="131"/>
      <c r="F20" s="152"/>
      <c r="G20" s="128"/>
      <c r="H20" s="128"/>
      <c r="I20" s="152"/>
      <c r="J20" s="153"/>
      <c r="K20" s="153"/>
      <c r="L20" s="74"/>
      <c r="M20" s="1"/>
      <c r="N20" s="1"/>
      <c r="O20" s="1"/>
    </row>
    <row r="21" spans="1:15" x14ac:dyDescent="0.35">
      <c r="A21" s="148" t="s">
        <v>47</v>
      </c>
      <c r="B21" s="156">
        <f>'Sch M-2.3 Pg. 2-11'!E160</f>
        <v>966</v>
      </c>
      <c r="C21" s="154">
        <f>'Sch M-2.3 Pg. 2-11'!F163</f>
        <v>11907403.008531963</v>
      </c>
      <c r="D21" s="150">
        <f>ROUND(C21/B21,3)</f>
        <v>12326.504000000001</v>
      </c>
      <c r="E21" s="131">
        <f>'Sch M-2.3 Pg. 2-11'!I180</f>
        <v>6618455.0814806847</v>
      </c>
      <c r="F21" s="151">
        <f>(E21/C21)*D21</f>
        <v>6851.4026926976494</v>
      </c>
      <c r="G21" s="128">
        <f>'Sch M-2.3 Pg.1'!H23</f>
        <v>2349185.5065123318</v>
      </c>
      <c r="H21" s="128">
        <f>'Sch M-2.3 Pg. 2-11'!N180</f>
        <v>8967640.5879930165</v>
      </c>
      <c r="I21" s="152">
        <f>(H21/C21)*D21</f>
        <v>9283.271717540234</v>
      </c>
      <c r="J21" s="153">
        <f>I21-F21</f>
        <v>2431.8690248425846</v>
      </c>
      <c r="K21" s="130">
        <f>J21/F21</f>
        <v>0.35494469292171588</v>
      </c>
      <c r="L21" s="115"/>
      <c r="M21" s="190">
        <f>J21*12/365.25</f>
        <v>79.897134286409354</v>
      </c>
      <c r="N21" s="1"/>
      <c r="O21" s="1"/>
    </row>
    <row r="22" spans="1:15" x14ac:dyDescent="0.35">
      <c r="A22" s="148"/>
      <c r="B22" s="154"/>
      <c r="C22" s="154"/>
      <c r="D22" s="155"/>
      <c r="E22" s="131"/>
      <c r="F22" s="152"/>
      <c r="G22" s="128"/>
      <c r="H22" s="128"/>
      <c r="I22" s="152"/>
      <c r="J22" s="153"/>
      <c r="K22" s="153"/>
      <c r="L22" s="74"/>
      <c r="M22" s="1"/>
      <c r="N22" s="1"/>
      <c r="O22" s="1"/>
    </row>
    <row r="23" spans="1:15" x14ac:dyDescent="0.35">
      <c r="A23" s="148" t="s">
        <v>46</v>
      </c>
      <c r="B23" s="50">
        <f>'Sch M-2.3 Pg. 2-11'!E190</f>
        <v>12</v>
      </c>
      <c r="C23" s="154">
        <f>'Sch M-2.3 Pg. 2-11'!F191</f>
        <v>290882.90000000002</v>
      </c>
      <c r="D23" s="150">
        <f>ROUND(C23/B23,3)</f>
        <v>24240.241999999998</v>
      </c>
      <c r="E23" s="131">
        <f>'Sch M-2.3 Pg. 2-11'!I205</f>
        <v>3215354.9125029081</v>
      </c>
      <c r="F23" s="151">
        <f>(E23/C23)*D23</f>
        <v>267946.24639316823</v>
      </c>
      <c r="G23" s="128">
        <f>'Sch M-2.3 Pg.1'!H25</f>
        <v>1591.5193028221838</v>
      </c>
      <c r="H23" s="128">
        <f>'Sch M-2.3 Pg. 2-11'!N205</f>
        <v>3216946.4318057303</v>
      </c>
      <c r="I23" s="152">
        <f>(H23/C23)*D23</f>
        <v>268078.87300356047</v>
      </c>
      <c r="J23" s="153">
        <f>I23-F23</f>
        <v>132.62661039223894</v>
      </c>
      <c r="K23" s="130">
        <f>J23/F23</f>
        <v>4.9497469054905372E-4</v>
      </c>
      <c r="L23" s="115"/>
      <c r="M23" s="190">
        <f>J23*12/365.25</f>
        <v>4.3573424358846466</v>
      </c>
      <c r="N23" s="1"/>
      <c r="O23" s="1"/>
    </row>
    <row r="24" spans="1:15" x14ac:dyDescent="0.35">
      <c r="A24" s="148"/>
      <c r="B24" s="50"/>
      <c r="C24" s="154"/>
      <c r="D24" s="155"/>
      <c r="E24" s="131"/>
      <c r="F24" s="152"/>
      <c r="G24" s="128"/>
      <c r="H24" s="128"/>
      <c r="I24" s="152"/>
      <c r="J24" s="153"/>
      <c r="K24" s="153"/>
      <c r="L24" s="74"/>
      <c r="M24" s="1"/>
      <c r="N24" s="1"/>
      <c r="O24" s="1"/>
    </row>
    <row r="25" spans="1:15" x14ac:dyDescent="0.35">
      <c r="A25" s="148" t="s">
        <v>48</v>
      </c>
      <c r="B25" s="154">
        <f>'Sch M-2.3 Pg. 2-11'!E214+'Sch M-2.3 Pg. 2-11'!E215+'Sch M-2.3 Pg. 2-11'!E223</f>
        <v>24</v>
      </c>
      <c r="C25" s="154">
        <f>'Sch M-2.3 Pg. 2-11'!F216+'Sch M-2.3 Pg. 2-11'!F227</f>
        <v>8.4</v>
      </c>
      <c r="D25" s="150">
        <f>ROUND(C25/B25,3)</f>
        <v>0.35</v>
      </c>
      <c r="E25" s="131">
        <f>'Sch M-2.3 Pg. 2-11'!I244</f>
        <v>19923.311654553214</v>
      </c>
      <c r="F25" s="151">
        <f>(E25/C25)*D25</f>
        <v>830.13798560638384</v>
      </c>
      <c r="G25" s="128">
        <f>'Sch M-2.3 Pg.1'!H27</f>
        <v>-1893.6646210446197</v>
      </c>
      <c r="H25" s="128">
        <f>'Sch M-2.3 Pg. 2-11'!N244</f>
        <v>18029.647033508594</v>
      </c>
      <c r="I25" s="152">
        <f>(H25/C25)*D25</f>
        <v>751.23529306285809</v>
      </c>
      <c r="J25" s="184">
        <f>ROUND(I25-F25,0)</f>
        <v>-79</v>
      </c>
      <c r="K25" s="130">
        <f>J25/F25</f>
        <v>-9.5164901943733532E-2</v>
      </c>
      <c r="L25" s="115"/>
      <c r="M25" s="190">
        <f>J25*12/365.25</f>
        <v>-2.5954825462012319</v>
      </c>
      <c r="N25" s="1"/>
      <c r="O25" s="1"/>
    </row>
    <row r="26" spans="1:15" x14ac:dyDescent="0.35">
      <c r="B26" s="126"/>
      <c r="C26" s="149"/>
      <c r="D26" s="126"/>
      <c r="E26" s="128"/>
      <c r="F26" s="157"/>
      <c r="G26" s="128"/>
      <c r="H26" s="128"/>
      <c r="I26" s="131"/>
      <c r="J26" s="126"/>
      <c r="K26" s="126"/>
      <c r="M26" s="1"/>
      <c r="N26" s="1"/>
      <c r="O26" s="1"/>
    </row>
    <row r="27" spans="1:15" x14ac:dyDescent="0.35">
      <c r="A27" s="5" t="s">
        <v>100</v>
      </c>
      <c r="B27" s="149">
        <f>'Sch M-2.3 Pg. 2-11'!E253</f>
        <v>12</v>
      </c>
      <c r="C27" s="149">
        <f>'Sch M-2.3 Pg. 2-11'!F254</f>
        <v>1500</v>
      </c>
      <c r="D27" s="150">
        <f>ROUND(C27/B27,3)</f>
        <v>125</v>
      </c>
      <c r="E27" s="128">
        <f>'Sch M-2.3 Pg. 2-11'!I268</f>
        <v>190395.11499107716</v>
      </c>
      <c r="F27" s="151">
        <f>(E27/C27)*D27</f>
        <v>15866.259582589764</v>
      </c>
      <c r="G27" s="128">
        <f>'Sch M-2.3 Pg. 2-11'!N270</f>
        <v>289.81826952385018</v>
      </c>
      <c r="H27" s="128">
        <f>'Sch M-2.3 Pg. 2-11'!N268</f>
        <v>190684.93326060101</v>
      </c>
      <c r="I27" s="152">
        <f>(H27/C27)*D27</f>
        <v>15890.411105050085</v>
      </c>
      <c r="J27" s="153">
        <f>I27-F27</f>
        <v>24.151522460320848</v>
      </c>
      <c r="K27" s="130">
        <f>IF(F27=0,0,J27/F27)</f>
        <v>1.52219383116753E-3</v>
      </c>
      <c r="M27" s="190">
        <f>J27*12/365.25</f>
        <v>0.79347917734113671</v>
      </c>
      <c r="N27" s="1"/>
      <c r="O27" s="1"/>
    </row>
    <row r="28" spans="1:15" x14ac:dyDescent="0.35">
      <c r="C28" s="158"/>
      <c r="E28" s="80"/>
      <c r="F28" s="72"/>
      <c r="G28" s="80"/>
      <c r="H28" s="80"/>
      <c r="I28" s="159"/>
      <c r="M28" s="1"/>
      <c r="N28" s="1"/>
      <c r="O28" s="1"/>
    </row>
    <row r="29" spans="1:15" x14ac:dyDescent="0.35">
      <c r="A29" s="5" t="s">
        <v>101</v>
      </c>
      <c r="B29" s="209">
        <f>'Sch M-2.3 Pg. 2-11'!E277</f>
        <v>0</v>
      </c>
      <c r="C29" s="209">
        <f>'Sch M-2.3 Pg. 2-11'!F278</f>
        <v>0</v>
      </c>
      <c r="D29" s="209">
        <f>IF(B29=0,0,ROUND(C29/B29,3))</f>
        <v>0</v>
      </c>
      <c r="E29" s="80">
        <f>'Sch M-2.3 Pg. 2-11'!I292</f>
        <v>0</v>
      </c>
      <c r="F29" s="151">
        <f>IF(C29=0,0,(E29/C29)*D29)</f>
        <v>0</v>
      </c>
      <c r="G29" s="80">
        <f>'Sch M-2.3 Pg. 2-11'!N294</f>
        <v>0</v>
      </c>
      <c r="H29" s="80">
        <f>'Sch M-2.3 Pg. 2-11'!N292</f>
        <v>0</v>
      </c>
      <c r="I29" s="152">
        <f>IF(C29=0,0,(H29/C29)*D29)</f>
        <v>0</v>
      </c>
      <c r="J29" s="153">
        <f>I29-F29</f>
        <v>0</v>
      </c>
      <c r="K29" s="130">
        <f>IF(F29=0,0,J29/F29)</f>
        <v>0</v>
      </c>
      <c r="M29" s="190">
        <f>J29*12/365.25</f>
        <v>0</v>
      </c>
      <c r="N29" s="1"/>
      <c r="O29" s="1"/>
    </row>
    <row r="30" spans="1:15" x14ac:dyDescent="0.35">
      <c r="B30" s="60"/>
      <c r="C30" s="60"/>
      <c r="D30" s="60"/>
      <c r="E30" s="80"/>
      <c r="F30" s="72"/>
      <c r="G30" s="80"/>
      <c r="H30" s="80"/>
      <c r="I30" s="159"/>
      <c r="M30" s="190"/>
      <c r="N30" s="1"/>
      <c r="O30" s="1"/>
    </row>
    <row r="31" spans="1:15" x14ac:dyDescent="0.35">
      <c r="A31" s="5" t="s">
        <v>104</v>
      </c>
      <c r="B31" s="209">
        <f>'Sch M-2.3 Pg. 2-11'!E300</f>
        <v>0</v>
      </c>
      <c r="C31" s="209">
        <f>'Sch M-2.3 Pg. 2-11'!F301</f>
        <v>0</v>
      </c>
      <c r="D31" s="209">
        <f>IF(C31=0,0,(ROUND(C31/B31,3)))</f>
        <v>0</v>
      </c>
      <c r="E31" s="80">
        <f>'Sch M-2.3 Pg. 2-11'!I315</f>
        <v>0</v>
      </c>
      <c r="F31" s="151">
        <f>IF(C31=0,0,((E31/C31)*D31))</f>
        <v>0</v>
      </c>
      <c r="G31" s="80">
        <f>'Sch M-2.3 Pg. 2-11'!N317</f>
        <v>0</v>
      </c>
      <c r="H31" s="80">
        <f>'Sch M-2.3 Pg. 2-11'!N315</f>
        <v>0</v>
      </c>
      <c r="I31" s="152">
        <f>IF(C31=0,0,((H31/C31)*D31))</f>
        <v>0</v>
      </c>
      <c r="J31" s="153">
        <f>I31-F31</f>
        <v>0</v>
      </c>
      <c r="K31" s="130">
        <f>IF(F31=0,0,J31/F31)</f>
        <v>0</v>
      </c>
      <c r="M31" s="190">
        <f t="shared" ref="M31" si="0">J31*12/365.25</f>
        <v>0</v>
      </c>
      <c r="N31" s="1"/>
      <c r="O31" s="1"/>
    </row>
    <row r="32" spans="1:15" x14ac:dyDescent="0.35">
      <c r="C32" s="158"/>
      <c r="E32" s="80"/>
      <c r="F32" s="151"/>
      <c r="G32" s="80"/>
      <c r="H32" s="80"/>
      <c r="I32" s="152"/>
      <c r="J32" s="153"/>
      <c r="M32" s="1"/>
      <c r="N32" s="1"/>
      <c r="O32" s="1"/>
    </row>
    <row r="33" spans="1:13" ht="16" thickBot="1" x14ac:dyDescent="0.4">
      <c r="A33" s="119" t="s">
        <v>150</v>
      </c>
      <c r="B33" s="214">
        <f t="shared" ref="B33:G33" si="1">SUM(B13:B31)</f>
        <v>3932315</v>
      </c>
      <c r="C33" s="214">
        <f t="shared" si="1"/>
        <v>43653219.496842466</v>
      </c>
      <c r="D33" s="215">
        <f t="shared" si="1"/>
        <v>41447.185999999994</v>
      </c>
      <c r="E33" s="216">
        <f t="shared" si="1"/>
        <v>358159007.39751911</v>
      </c>
      <c r="F33" s="217">
        <f t="shared" si="1"/>
        <v>306941.80038961791</v>
      </c>
      <c r="G33" s="216">
        <f t="shared" si="1"/>
        <v>24190842.905020297</v>
      </c>
      <c r="H33" s="216">
        <f>+SUM(H13:H31)</f>
        <v>382349850.30253953</v>
      </c>
      <c r="I33" s="218">
        <f>SUM(I13:I31)</f>
        <v>312221.61522090173</v>
      </c>
      <c r="J33" s="219">
        <f t="shared" ref="J33" si="2">I33-F33</f>
        <v>5279.8148312838166</v>
      </c>
      <c r="K33" s="220">
        <f>IF(F33=0,0,J33/F33)</f>
        <v>1.7201354864609057E-2</v>
      </c>
      <c r="M33" s="221">
        <f>J33*12/365.25</f>
        <v>173.46414230090568</v>
      </c>
    </row>
    <row r="34" spans="1:13" ht="16" thickTop="1" x14ac:dyDescent="0.35">
      <c r="B34" s="1"/>
      <c r="C34" s="1"/>
      <c r="D34" s="1"/>
      <c r="E34" s="1"/>
      <c r="F34" s="1"/>
      <c r="G34" s="1"/>
      <c r="H34" s="1"/>
      <c r="I34" s="1"/>
      <c r="J34" s="1"/>
    </row>
    <row r="35" spans="1:13" x14ac:dyDescent="0.35">
      <c r="B35" s="1"/>
      <c r="C35" s="1"/>
      <c r="D35" s="1"/>
      <c r="E35" s="1"/>
      <c r="F35" s="1"/>
      <c r="G35" s="1"/>
      <c r="H35" s="1"/>
      <c r="I35" s="1"/>
      <c r="J35" s="1"/>
    </row>
    <row r="36" spans="1:13" x14ac:dyDescent="0.35">
      <c r="A36" s="160" t="s">
        <v>134</v>
      </c>
      <c r="B36" s="7">
        <f>SUM(B13:B31)</f>
        <v>3932315</v>
      </c>
      <c r="C36" s="7">
        <f>SUM(C13:C31)</f>
        <v>43653219.496842466</v>
      </c>
      <c r="D36" s="1"/>
      <c r="E36" s="7">
        <f>SUM(E13:E31)</f>
        <v>358159007.39751911</v>
      </c>
      <c r="F36" s="1"/>
      <c r="G36" s="1"/>
      <c r="H36" s="1"/>
      <c r="I36" s="1"/>
      <c r="J36" s="1"/>
    </row>
    <row r="37" spans="1:13" x14ac:dyDescent="0.35">
      <c r="A37" s="160" t="s">
        <v>133</v>
      </c>
      <c r="B37" s="3">
        <v>3932315</v>
      </c>
      <c r="C37" s="3">
        <v>43653219.496842474</v>
      </c>
      <c r="D37" s="1"/>
      <c r="E37" s="3">
        <v>358159007.40079886</v>
      </c>
      <c r="F37" s="1"/>
      <c r="G37" s="1"/>
      <c r="H37" s="1"/>
      <c r="I37" s="1"/>
      <c r="J37" s="1"/>
    </row>
    <row r="38" spans="1:13" x14ac:dyDescent="0.35">
      <c r="A38" s="160" t="s">
        <v>135</v>
      </c>
      <c r="B38" s="8">
        <f>B36-B37</f>
        <v>0</v>
      </c>
      <c r="C38" s="8">
        <f>C36-C37</f>
        <v>0</v>
      </c>
      <c r="D38" s="1"/>
      <c r="E38" s="9">
        <f>E36-E37</f>
        <v>-3.2797455787658691E-3</v>
      </c>
      <c r="F38" s="1"/>
      <c r="G38" s="1"/>
      <c r="H38" s="1"/>
      <c r="I38" s="1"/>
      <c r="J38" s="1"/>
    </row>
    <row r="39" spans="1:13" x14ac:dyDescent="0.35">
      <c r="B39" s="1"/>
      <c r="C39" s="1"/>
      <c r="D39" s="1"/>
      <c r="E39" s="1"/>
      <c r="F39" s="1"/>
      <c r="G39" s="1"/>
      <c r="H39" s="1"/>
      <c r="I39" s="1"/>
      <c r="J39" s="1"/>
    </row>
    <row r="40" spans="1:13" x14ac:dyDescent="0.35">
      <c r="B40" s="1"/>
      <c r="C40" s="1"/>
      <c r="D40" s="1"/>
      <c r="E40" s="1"/>
      <c r="F40" s="1"/>
      <c r="G40" s="1"/>
      <c r="H40" s="1"/>
      <c r="I40" s="1"/>
      <c r="J40" s="1"/>
    </row>
    <row r="41" spans="1:13" x14ac:dyDescent="0.35">
      <c r="B41" s="1"/>
      <c r="C41" s="1"/>
      <c r="D41" s="1"/>
      <c r="E41" s="1"/>
      <c r="F41" s="1"/>
      <c r="G41" s="1"/>
      <c r="H41" s="1"/>
      <c r="I41" s="1"/>
      <c r="J41" s="1"/>
    </row>
    <row r="42" spans="1:13" x14ac:dyDescent="0.35"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35"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35"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35"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35">
      <c r="B46" s="1"/>
      <c r="C46" s="1"/>
      <c r="D46" s="1"/>
      <c r="E46" s="1"/>
      <c r="F46" s="1"/>
      <c r="G46" s="1"/>
      <c r="H46" s="1"/>
      <c r="I46" s="1"/>
      <c r="J46" s="1"/>
    </row>
    <row r="47" spans="1:13" x14ac:dyDescent="0.35">
      <c r="B47" s="1"/>
      <c r="C47" s="1"/>
      <c r="D47" s="1"/>
      <c r="E47" s="1"/>
      <c r="F47" s="1"/>
      <c r="G47" s="1"/>
      <c r="H47" s="1"/>
      <c r="I47" s="1"/>
      <c r="J47" s="1"/>
    </row>
    <row r="48" spans="1:13" x14ac:dyDescent="0.35">
      <c r="B48" s="1"/>
      <c r="C48" s="1"/>
      <c r="D48" s="1"/>
      <c r="E48" s="1"/>
      <c r="F48" s="1"/>
      <c r="G48" s="1"/>
      <c r="H48" s="1"/>
      <c r="I48" s="1"/>
      <c r="J48" s="1"/>
    </row>
    <row r="49" spans="1:12" x14ac:dyDescent="0.35">
      <c r="B49" s="1"/>
      <c r="C49" s="1"/>
      <c r="D49" s="1"/>
      <c r="E49" s="1"/>
      <c r="F49" s="1"/>
      <c r="G49" s="1"/>
      <c r="H49" s="1"/>
      <c r="I49" s="1"/>
      <c r="J49" s="1"/>
    </row>
    <row r="50" spans="1:12" x14ac:dyDescent="0.35">
      <c r="B50" s="1"/>
      <c r="C50" s="1"/>
      <c r="D50" s="1"/>
      <c r="E50" s="1"/>
      <c r="F50" s="1"/>
      <c r="G50" s="1"/>
      <c r="H50" s="1"/>
      <c r="I50" s="1"/>
      <c r="J50" s="1"/>
    </row>
    <row r="51" spans="1:12" x14ac:dyDescent="0.35">
      <c r="B51" s="1"/>
      <c r="C51" s="1"/>
      <c r="D51" s="1"/>
      <c r="E51" s="1"/>
      <c r="F51" s="1"/>
      <c r="G51" s="1"/>
      <c r="H51" s="1"/>
      <c r="I51" s="1"/>
      <c r="J51" s="1"/>
    </row>
    <row r="52" spans="1:12" x14ac:dyDescent="0.35">
      <c r="A52" s="161"/>
      <c r="B52" s="1"/>
      <c r="C52" s="1"/>
      <c r="D52" s="1"/>
      <c r="E52" s="1"/>
      <c r="F52" s="1"/>
      <c r="G52" s="1"/>
      <c r="H52" s="1"/>
      <c r="I52" s="1"/>
      <c r="J52" s="1"/>
      <c r="K52" s="159"/>
      <c r="L52" s="159"/>
    </row>
    <row r="53" spans="1:12" x14ac:dyDescent="0.35">
      <c r="A53" s="162"/>
      <c r="B53" s="1"/>
      <c r="C53" s="1"/>
      <c r="D53" s="1"/>
      <c r="E53" s="1"/>
      <c r="F53" s="1"/>
      <c r="G53" s="1"/>
      <c r="H53" s="1"/>
      <c r="I53" s="1"/>
      <c r="J53" s="1"/>
      <c r="K53" s="163"/>
      <c r="L53" s="163"/>
    </row>
    <row r="54" spans="1:12" x14ac:dyDescent="0.35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</row>
    <row r="55" spans="1:12" x14ac:dyDescent="0.35">
      <c r="A55" s="164"/>
      <c r="B55" s="165"/>
      <c r="C55" s="165"/>
      <c r="D55" s="165"/>
      <c r="E55" s="165"/>
      <c r="F55" s="165"/>
      <c r="G55" s="165"/>
      <c r="H55" s="159"/>
      <c r="I55" s="159"/>
      <c r="J55" s="159"/>
      <c r="K55" s="159"/>
      <c r="L55" s="159"/>
    </row>
    <row r="56" spans="1:12" ht="18.5" x14ac:dyDescent="0.65">
      <c r="A56" s="164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</row>
    <row r="57" spans="1:12" x14ac:dyDescent="0.35">
      <c r="A57" s="167"/>
      <c r="B57" s="163"/>
      <c r="C57" s="163"/>
      <c r="D57" s="163"/>
      <c r="E57" s="163"/>
      <c r="F57" s="163"/>
      <c r="G57" s="163"/>
      <c r="H57" s="80"/>
      <c r="I57" s="80"/>
      <c r="J57" s="80"/>
      <c r="K57" s="80"/>
      <c r="L57" s="80"/>
    </row>
    <row r="58" spans="1:12" x14ac:dyDescent="0.35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</row>
    <row r="59" spans="1:12" x14ac:dyDescent="0.35">
      <c r="B59" s="165"/>
      <c r="C59" s="165"/>
      <c r="D59" s="165"/>
      <c r="E59" s="165"/>
      <c r="F59" s="165"/>
      <c r="G59" s="165"/>
      <c r="H59" s="159"/>
      <c r="I59" s="159"/>
      <c r="J59" s="159"/>
      <c r="K59" s="159"/>
      <c r="L59" s="159"/>
    </row>
    <row r="60" spans="1:12" x14ac:dyDescent="0.35">
      <c r="B60" s="163"/>
      <c r="C60" s="163"/>
      <c r="D60" s="163"/>
      <c r="E60" s="163"/>
      <c r="F60" s="163"/>
      <c r="G60" s="163"/>
      <c r="H60" s="80"/>
      <c r="I60" s="80"/>
      <c r="J60" s="80"/>
      <c r="K60" s="80"/>
      <c r="L60" s="80"/>
    </row>
    <row r="61" spans="1:12" x14ac:dyDescent="0.35">
      <c r="B61" s="165"/>
      <c r="C61" s="165"/>
      <c r="D61" s="165"/>
      <c r="E61" s="165"/>
      <c r="F61" s="165"/>
      <c r="G61" s="165"/>
      <c r="H61" s="159"/>
      <c r="I61" s="159"/>
      <c r="J61" s="159"/>
      <c r="K61" s="159"/>
      <c r="L61" s="159"/>
    </row>
    <row r="62" spans="1:12" x14ac:dyDescent="0.35">
      <c r="B62" s="163"/>
      <c r="C62" s="163"/>
      <c r="D62" s="163"/>
      <c r="E62" s="163"/>
      <c r="F62" s="163"/>
      <c r="G62" s="163"/>
      <c r="H62" s="80"/>
      <c r="I62" s="80"/>
      <c r="J62" s="80"/>
      <c r="K62" s="80"/>
      <c r="L62" s="80"/>
    </row>
    <row r="63" spans="1:12" x14ac:dyDescent="0.35">
      <c r="B63" s="165"/>
      <c r="C63" s="165"/>
      <c r="D63" s="165"/>
      <c r="E63" s="165"/>
      <c r="F63" s="165"/>
      <c r="G63" s="165"/>
      <c r="H63" s="159"/>
      <c r="I63" s="159"/>
      <c r="J63" s="159"/>
      <c r="K63" s="159"/>
      <c r="L63" s="159"/>
    </row>
    <row r="64" spans="1:12" x14ac:dyDescent="0.35">
      <c r="B64" s="165"/>
      <c r="C64" s="165"/>
      <c r="D64" s="165"/>
      <c r="E64" s="165"/>
      <c r="F64" s="165"/>
      <c r="G64" s="165"/>
      <c r="H64" s="159"/>
      <c r="I64" s="159"/>
      <c r="J64" s="159"/>
      <c r="K64" s="159"/>
      <c r="L64" s="159"/>
    </row>
    <row r="65" spans="2:16" x14ac:dyDescent="0.35"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</row>
    <row r="66" spans="2:16" x14ac:dyDescent="0.35">
      <c r="B66" s="163"/>
      <c r="C66" s="163"/>
      <c r="D66" s="163"/>
      <c r="E66" s="163"/>
      <c r="F66" s="163"/>
      <c r="G66" s="163"/>
      <c r="H66" s="80"/>
      <c r="I66" s="80"/>
      <c r="J66" s="80"/>
      <c r="K66" s="80"/>
      <c r="L66" s="80"/>
    </row>
    <row r="67" spans="2:16" x14ac:dyDescent="0.35">
      <c r="B67" s="163"/>
      <c r="C67" s="163"/>
      <c r="D67" s="163"/>
      <c r="E67" s="163"/>
      <c r="F67" s="163"/>
      <c r="G67" s="163"/>
    </row>
    <row r="68" spans="2:16" ht="17" x14ac:dyDescent="0.5">
      <c r="B68" s="169"/>
      <c r="C68" s="169"/>
      <c r="D68" s="169"/>
      <c r="E68" s="169"/>
      <c r="F68" s="169"/>
      <c r="G68" s="169"/>
      <c r="H68" s="170"/>
      <c r="I68" s="170"/>
      <c r="J68" s="170"/>
      <c r="K68" s="170"/>
      <c r="L68" s="170"/>
    </row>
    <row r="70" spans="2:16" x14ac:dyDescent="0.35">
      <c r="B70" s="54"/>
      <c r="C70" s="54"/>
    </row>
    <row r="73" spans="2:16" x14ac:dyDescent="0.35"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</row>
    <row r="74" spans="2:16" x14ac:dyDescent="0.35"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</row>
    <row r="75" spans="2:16" x14ac:dyDescent="0.35"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</row>
    <row r="76" spans="2:16" x14ac:dyDescent="0.35"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</row>
    <row r="77" spans="2:16" x14ac:dyDescent="0.35">
      <c r="B77" s="165"/>
      <c r="C77" s="165"/>
      <c r="D77" s="165"/>
      <c r="E77" s="165"/>
      <c r="F77" s="165"/>
      <c r="G77" s="165"/>
      <c r="H77" s="163"/>
      <c r="I77" s="163"/>
      <c r="J77" s="163"/>
      <c r="K77" s="163"/>
      <c r="L77" s="163"/>
    </row>
    <row r="78" spans="2:16" x14ac:dyDescent="0.35">
      <c r="B78" s="158"/>
      <c r="C78" s="158"/>
      <c r="D78" s="158"/>
      <c r="E78" s="158"/>
      <c r="F78" s="158"/>
      <c r="G78" s="158"/>
      <c r="H78" s="158"/>
      <c r="I78" s="158"/>
      <c r="J78" s="158"/>
    </row>
    <row r="79" spans="2:16" x14ac:dyDescent="0.35">
      <c r="B79" s="158"/>
      <c r="C79" s="158"/>
      <c r="D79" s="158"/>
      <c r="E79" s="158"/>
      <c r="F79" s="158"/>
      <c r="G79" s="158"/>
      <c r="H79" s="158"/>
      <c r="I79" s="158"/>
      <c r="J79" s="158"/>
    </row>
    <row r="80" spans="2:16" s="172" customFormat="1" x14ac:dyDescent="0.35">
      <c r="B80" s="171"/>
      <c r="C80" s="171"/>
      <c r="D80" s="171"/>
      <c r="E80" s="171"/>
      <c r="F80" s="171"/>
      <c r="G80" s="171"/>
      <c r="H80" s="171"/>
      <c r="I80" s="171"/>
      <c r="J80" s="171"/>
      <c r="M80" s="5"/>
      <c r="N80" s="5"/>
      <c r="O80" s="5"/>
      <c r="P80" s="5"/>
    </row>
    <row r="81" spans="1:16" s="6" customFormat="1" x14ac:dyDescent="0.35">
      <c r="B81" s="173"/>
      <c r="C81" s="173"/>
      <c r="D81" s="173"/>
      <c r="E81" s="173"/>
      <c r="F81" s="173"/>
      <c r="G81" s="173"/>
      <c r="H81" s="173"/>
      <c r="I81" s="173"/>
      <c r="J81" s="173"/>
      <c r="M81" s="5"/>
      <c r="N81" s="5"/>
      <c r="O81" s="5"/>
      <c r="P81" s="5"/>
    </row>
    <row r="82" spans="1:16" s="6" customFormat="1" x14ac:dyDescent="0.35">
      <c r="B82" s="173"/>
      <c r="C82" s="173"/>
      <c r="D82" s="173"/>
      <c r="E82" s="173"/>
      <c r="F82" s="173"/>
      <c r="G82" s="173"/>
      <c r="H82" s="173"/>
      <c r="I82" s="173"/>
      <c r="J82" s="173"/>
      <c r="M82" s="5"/>
      <c r="N82" s="5"/>
      <c r="O82" s="5"/>
      <c r="P82" s="5"/>
    </row>
    <row r="83" spans="1:16" s="6" customFormat="1" x14ac:dyDescent="0.35">
      <c r="B83" s="173"/>
      <c r="C83" s="173"/>
      <c r="D83" s="173"/>
      <c r="E83" s="173"/>
      <c r="F83" s="173"/>
      <c r="G83" s="173"/>
      <c r="H83" s="173"/>
      <c r="I83" s="173"/>
      <c r="J83" s="173"/>
      <c r="M83" s="5"/>
      <c r="N83" s="5"/>
      <c r="O83" s="5"/>
      <c r="P83" s="5"/>
    </row>
    <row r="84" spans="1:16" s="6" customFormat="1" x14ac:dyDescent="0.35">
      <c r="B84" s="173"/>
      <c r="C84" s="173"/>
      <c r="D84" s="173"/>
      <c r="E84" s="173"/>
      <c r="F84" s="173"/>
      <c r="G84" s="173"/>
      <c r="H84" s="173"/>
      <c r="I84" s="173"/>
      <c r="J84" s="173"/>
      <c r="M84" s="5"/>
      <c r="N84" s="5"/>
      <c r="O84" s="5"/>
      <c r="P84" s="5"/>
    </row>
    <row r="85" spans="1:16" s="6" customFormat="1" x14ac:dyDescent="0.35">
      <c r="B85" s="173"/>
      <c r="C85" s="173"/>
      <c r="D85" s="173"/>
      <c r="E85" s="173"/>
      <c r="F85" s="173"/>
      <c r="G85" s="173"/>
      <c r="H85" s="173"/>
      <c r="I85" s="173"/>
      <c r="J85" s="173"/>
      <c r="M85" s="5"/>
      <c r="N85" s="5"/>
      <c r="O85" s="5"/>
      <c r="P85" s="5"/>
    </row>
    <row r="86" spans="1:16" s="6" customFormat="1" x14ac:dyDescent="0.35">
      <c r="B86" s="173"/>
      <c r="C86" s="173"/>
      <c r="D86" s="173"/>
      <c r="E86" s="173"/>
      <c r="F86" s="173"/>
      <c r="G86" s="173"/>
      <c r="H86" s="173"/>
      <c r="I86" s="173"/>
      <c r="J86" s="173"/>
      <c r="M86" s="5"/>
      <c r="N86" s="5"/>
      <c r="O86" s="5"/>
      <c r="P86" s="5"/>
    </row>
    <row r="87" spans="1:16" s="6" customFormat="1" x14ac:dyDescent="0.35">
      <c r="A87" s="164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5"/>
      <c r="N87" s="5"/>
      <c r="O87" s="5"/>
      <c r="P87" s="5"/>
    </row>
    <row r="88" spans="1:16" ht="18.5" x14ac:dyDescent="0.65">
      <c r="A88" s="16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</row>
    <row r="89" spans="1:16" x14ac:dyDescent="0.3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1:16" x14ac:dyDescent="0.35">
      <c r="B90" s="158"/>
      <c r="C90" s="158"/>
      <c r="D90" s="158"/>
      <c r="E90" s="158"/>
      <c r="F90" s="158"/>
      <c r="G90" s="158"/>
      <c r="H90" s="158"/>
      <c r="I90" s="158"/>
      <c r="J90" s="158"/>
    </row>
    <row r="91" spans="1:16" x14ac:dyDescent="0.35">
      <c r="A91" s="175"/>
      <c r="B91" s="158"/>
      <c r="C91" s="158"/>
      <c r="D91" s="158"/>
      <c r="E91" s="158"/>
      <c r="F91" s="158"/>
      <c r="G91" s="158"/>
      <c r="H91" s="158"/>
      <c r="I91" s="158"/>
      <c r="J91" s="158"/>
    </row>
    <row r="92" spans="1:16" x14ac:dyDescent="0.35">
      <c r="A92" s="164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</row>
    <row r="93" spans="1:16" ht="18.5" x14ac:dyDescent="0.65">
      <c r="A93" s="16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</row>
    <row r="94" spans="1:16" x14ac:dyDescent="0.3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6" x14ac:dyDescent="0.35">
      <c r="B95" s="158"/>
      <c r="C95" s="158"/>
      <c r="D95" s="158"/>
      <c r="E95" s="158"/>
      <c r="F95" s="158"/>
      <c r="G95" s="158"/>
      <c r="H95" s="158"/>
      <c r="I95" s="158"/>
      <c r="J95" s="158"/>
    </row>
    <row r="96" spans="1:16" x14ac:dyDescent="0.3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x14ac:dyDescent="0.3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18.5" x14ac:dyDescent="0.65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</row>
    <row r="99" spans="1:12" x14ac:dyDescent="0.3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</row>
    <row r="100" spans="1:12" x14ac:dyDescent="0.35">
      <c r="B100" s="158"/>
      <c r="C100" s="158"/>
      <c r="D100" s="158"/>
      <c r="E100" s="158"/>
      <c r="F100" s="158"/>
      <c r="G100" s="158"/>
      <c r="H100" s="158"/>
      <c r="I100" s="158"/>
      <c r="J100" s="158"/>
    </row>
    <row r="101" spans="1:12" x14ac:dyDescent="0.3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1:12" x14ac:dyDescent="0.3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1:12" x14ac:dyDescent="0.35"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</row>
    <row r="104" spans="1:12" ht="18.5" x14ac:dyDescent="0.65"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</row>
    <row r="105" spans="1:12" x14ac:dyDescent="0.3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1:12" x14ac:dyDescent="0.35">
      <c r="B106" s="158"/>
      <c r="C106" s="158"/>
      <c r="D106" s="158"/>
      <c r="E106" s="158"/>
      <c r="F106" s="158"/>
      <c r="G106" s="158"/>
      <c r="H106" s="158"/>
      <c r="I106" s="158"/>
      <c r="J106" s="158"/>
    </row>
    <row r="107" spans="1:12" x14ac:dyDescent="0.3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1:12" x14ac:dyDescent="0.35">
      <c r="B108" s="158"/>
      <c r="C108" s="158"/>
      <c r="D108" s="158"/>
      <c r="E108" s="158"/>
      <c r="F108" s="158"/>
      <c r="G108" s="158"/>
      <c r="H108" s="158"/>
      <c r="I108" s="158"/>
      <c r="J108" s="158"/>
    </row>
    <row r="109" spans="1:12" x14ac:dyDescent="0.3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1" spans="1:12" x14ac:dyDescent="0.3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1:12" x14ac:dyDescent="0.35">
      <c r="A112" s="164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1:12" ht="18.5" x14ac:dyDescent="0.65">
      <c r="A113" s="16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</row>
    <row r="114" spans="1:12" x14ac:dyDescent="0.3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6" spans="1:12" x14ac:dyDescent="0.3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  <row r="118" spans="1:12" x14ac:dyDescent="0.3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20" spans="1:12" x14ac:dyDescent="0.3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2" spans="1:12" x14ac:dyDescent="0.3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4" spans="1:12" ht="17" x14ac:dyDescent="0.5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</row>
    <row r="129" spans="2:12" x14ac:dyDescent="0.3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2:12" x14ac:dyDescent="0.3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75" right="0.75" top="1.75" bottom="0.5" header="0.75" footer="0.25"/>
  <pageSetup scale="45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5">
    <tabColor theme="6" tint="0.39997558519241921"/>
    <pageSetUpPr fitToPage="1"/>
  </sheetPr>
  <dimension ref="A1:Q55"/>
  <sheetViews>
    <sheetView zoomScaleNormal="100" workbookViewId="0">
      <selection sqref="A1:I1"/>
    </sheetView>
  </sheetViews>
  <sheetFormatPr defaultColWidth="9.1796875" defaultRowHeight="15.5" x14ac:dyDescent="0.35"/>
  <cols>
    <col min="1" max="1" width="69.81640625" style="5" customWidth="1"/>
    <col min="2" max="3" width="18.453125" style="5" customWidth="1"/>
    <col min="4" max="4" width="16.453125" style="5" customWidth="1"/>
    <col min="5" max="5" width="16.81640625" style="5" customWidth="1"/>
    <col min="6" max="6" width="23.7265625" style="5" customWidth="1"/>
    <col min="7" max="7" width="18.453125" style="5" bestFit="1" customWidth="1"/>
    <col min="8" max="10" width="17.7265625" style="5" customWidth="1"/>
    <col min="11" max="11" width="17.453125" style="5" bestFit="1" customWidth="1"/>
    <col min="12" max="12" width="9.453125" style="5" bestFit="1" customWidth="1"/>
    <col min="13" max="13" width="9.26953125" style="5" bestFit="1" customWidth="1"/>
    <col min="14" max="14" width="20.54296875" style="5" customWidth="1"/>
    <col min="15" max="15" width="9.1796875" style="5"/>
    <col min="16" max="16" width="17.81640625" style="5" customWidth="1"/>
    <col min="17" max="17" width="9.26953125" style="5" bestFit="1" customWidth="1"/>
    <col min="18" max="18" width="9.1796875" style="5"/>
    <col min="19" max="19" width="15.81640625" style="5" customWidth="1"/>
    <col min="20" max="20" width="9.26953125" style="5" bestFit="1" customWidth="1"/>
    <col min="21" max="21" width="17.54296875" style="5" bestFit="1" customWidth="1"/>
    <col min="22" max="22" width="15.453125" style="5" bestFit="1" customWidth="1"/>
    <col min="23" max="23" width="12.7265625" style="5" bestFit="1" customWidth="1"/>
    <col min="24" max="16384" width="9.1796875" style="5"/>
  </cols>
  <sheetData>
    <row r="1" spans="1:16" x14ac:dyDescent="0.35">
      <c r="A1" s="272" t="str">
        <f>Index!A5</f>
        <v>LOUISVILLE GAS AND ELECTRIC COMPANY</v>
      </c>
      <c r="B1" s="276"/>
      <c r="C1" s="276"/>
      <c r="D1" s="276"/>
      <c r="E1" s="276"/>
      <c r="F1" s="276"/>
      <c r="G1" s="276"/>
      <c r="H1" s="276"/>
      <c r="I1" s="276"/>
    </row>
    <row r="2" spans="1:16" x14ac:dyDescent="0.35">
      <c r="A2" s="276" t="str">
        <f>Index!A7</f>
        <v>CASE NO. 2020-00350</v>
      </c>
      <c r="B2" s="276"/>
      <c r="C2" s="276"/>
      <c r="D2" s="276"/>
      <c r="E2" s="276"/>
      <c r="F2" s="276"/>
      <c r="G2" s="276"/>
      <c r="H2" s="276"/>
      <c r="I2" s="276"/>
    </row>
    <row r="3" spans="1:16" x14ac:dyDescent="0.35">
      <c r="A3" s="276" t="str">
        <f>Index!C21</f>
        <v>Summary of Stipulated Gas Revenue Increase</v>
      </c>
      <c r="B3" s="276"/>
      <c r="C3" s="276"/>
      <c r="D3" s="276"/>
      <c r="E3" s="276"/>
      <c r="F3" s="276"/>
      <c r="G3" s="276"/>
      <c r="H3" s="276"/>
      <c r="I3" s="276"/>
    </row>
    <row r="4" spans="1:16" x14ac:dyDescent="0.35">
      <c r="A4" s="276" t="str">
        <f>Index!D13</f>
        <v>For the 12 Months Ended June 30, 2022</v>
      </c>
      <c r="B4" s="276"/>
      <c r="C4" s="276"/>
      <c r="D4" s="276"/>
      <c r="E4" s="276"/>
      <c r="F4" s="276"/>
      <c r="G4" s="276"/>
      <c r="H4" s="276"/>
      <c r="I4" s="276"/>
    </row>
    <row r="5" spans="1:16" x14ac:dyDescent="0.35">
      <c r="A5" s="277" t="str">
        <f>'Sch M-2.1-G'!A5:E5</f>
        <v>Gas Operations</v>
      </c>
      <c r="B5" s="277"/>
      <c r="C5" s="277"/>
      <c r="D5" s="277"/>
      <c r="E5" s="277"/>
      <c r="F5" s="277"/>
      <c r="G5" s="277"/>
      <c r="H5" s="277"/>
      <c r="I5" s="277"/>
    </row>
    <row r="7" spans="1:16" x14ac:dyDescent="0.35">
      <c r="A7" s="14" t="str">
        <f>'Sch M-2.1-G'!A10</f>
        <v>DATA:  ____ BASE PERIOD  __X__  FORECAST PERIOD</v>
      </c>
      <c r="B7" s="117"/>
      <c r="C7" s="117"/>
      <c r="D7" s="117"/>
      <c r="E7" s="117"/>
      <c r="F7" s="117"/>
      <c r="H7" s="118"/>
      <c r="I7" s="118" t="str">
        <f>"Schedule "&amp;Index!A21</f>
        <v>Schedule M-2.3-G</v>
      </c>
      <c r="J7" s="117"/>
      <c r="K7" s="119"/>
      <c r="L7" s="120"/>
      <c r="M7" s="120"/>
      <c r="N7" s="120"/>
      <c r="O7" s="120"/>
      <c r="P7" s="120"/>
    </row>
    <row r="8" spans="1:16" x14ac:dyDescent="0.35">
      <c r="A8" s="19" t="str">
        <f>'Sch M-2.1-G'!A11</f>
        <v>TYPE OF FILING: __X__ ORIGINAL  _____ UPDATED  _____ REVISED</v>
      </c>
      <c r="B8" s="117"/>
      <c r="C8" s="117"/>
      <c r="D8" s="117"/>
      <c r="E8" s="117"/>
      <c r="F8" s="117"/>
      <c r="H8" s="118"/>
      <c r="I8" s="121" t="str">
        <f>'Sch M-2.1-G'!E11</f>
        <v>Witness:  W. S. SEELYE</v>
      </c>
      <c r="J8" s="117"/>
      <c r="K8" s="119"/>
    </row>
    <row r="9" spans="1:16" x14ac:dyDescent="0.35">
      <c r="A9" s="19" t="str">
        <f>'Sch M-2.1-G'!A12</f>
        <v>WORK PAPER REFERENCE NO(S):</v>
      </c>
      <c r="B9" s="117"/>
      <c r="C9" s="117"/>
      <c r="D9" s="117"/>
      <c r="E9" s="117"/>
      <c r="F9" s="117"/>
      <c r="H9" s="121"/>
      <c r="I9" s="121" t="s">
        <v>139</v>
      </c>
      <c r="J9" s="117"/>
      <c r="K9" s="119"/>
    </row>
    <row r="10" spans="1:16" x14ac:dyDescent="0.3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6" x14ac:dyDescent="0.35">
      <c r="A11" s="122"/>
      <c r="B11" s="123"/>
      <c r="C11" s="123"/>
      <c r="D11" s="123"/>
      <c r="E11" s="123"/>
      <c r="F11" s="123" t="s">
        <v>159</v>
      </c>
      <c r="G11" s="123" t="s">
        <v>10</v>
      </c>
      <c r="H11" s="123"/>
      <c r="I11" s="123"/>
      <c r="J11" s="119"/>
      <c r="K11" s="119"/>
    </row>
    <row r="12" spans="1:16" x14ac:dyDescent="0.35">
      <c r="A12" s="122"/>
      <c r="B12" s="123" t="s">
        <v>21</v>
      </c>
      <c r="C12" s="123" t="s">
        <v>8</v>
      </c>
      <c r="D12" s="123" t="s">
        <v>9</v>
      </c>
      <c r="E12" s="123" t="s">
        <v>37</v>
      </c>
      <c r="F12" s="123" t="s">
        <v>161</v>
      </c>
      <c r="G12" s="123" t="s">
        <v>26</v>
      </c>
      <c r="H12" s="123"/>
      <c r="I12" s="123" t="s">
        <v>69</v>
      </c>
    </row>
    <row r="13" spans="1:16" ht="16" thickBot="1" x14ac:dyDescent="0.4">
      <c r="A13" s="124" t="s">
        <v>7</v>
      </c>
      <c r="B13" s="125" t="s">
        <v>6</v>
      </c>
      <c r="C13" s="125" t="s">
        <v>6</v>
      </c>
      <c r="D13" s="125" t="s">
        <v>6</v>
      </c>
      <c r="E13" s="125" t="s">
        <v>6</v>
      </c>
      <c r="F13" s="125" t="s">
        <v>160</v>
      </c>
      <c r="G13" s="125" t="s">
        <v>6</v>
      </c>
      <c r="H13" s="125" t="s">
        <v>23</v>
      </c>
      <c r="I13" s="125" t="s">
        <v>27</v>
      </c>
      <c r="K13" s="1"/>
      <c r="L13" s="1"/>
      <c r="M13" s="1"/>
    </row>
    <row r="14" spans="1:16" x14ac:dyDescent="0.35">
      <c r="B14" s="126"/>
      <c r="C14" s="126"/>
      <c r="D14" s="126"/>
      <c r="E14" s="126"/>
      <c r="F14" s="126"/>
      <c r="G14" s="126"/>
      <c r="H14" s="126"/>
      <c r="I14" s="126"/>
      <c r="K14" s="1"/>
      <c r="L14" s="1"/>
      <c r="M14" s="1"/>
    </row>
    <row r="15" spans="1:16" x14ac:dyDescent="0.35">
      <c r="A15" s="5" t="s">
        <v>126</v>
      </c>
      <c r="B15" s="182">
        <f>'Sch M-2.3 Pg. 2-11'!I23</f>
        <v>143297422.80864847</v>
      </c>
      <c r="C15" s="182">
        <f>'Sch M-2.3 Pg. 2-11'!I29</f>
        <v>73041197.31455493</v>
      </c>
      <c r="D15" s="182">
        <f>'Sch M-2.3 Pg. 2-11'!I30</f>
        <v>235706.3066884139</v>
      </c>
      <c r="E15" s="182">
        <f>'Sch M-2.3 Pg. 2-11'!K31</f>
        <v>6886665.2274169531</v>
      </c>
      <c r="F15" s="182">
        <f>'Sch M-2.3 Pg. 2-11'!K25</f>
        <v>14648186.682277357</v>
      </c>
      <c r="G15" s="182">
        <f>SUM(B15:F15)</f>
        <v>238109178.33958614</v>
      </c>
      <c r="H15" s="128">
        <f>'Sch M-2.3 Pg. 2-11'!N35</f>
        <v>15261266.956908733</v>
      </c>
      <c r="I15" s="129">
        <f>'Sch M-2.3 Pg. 2-11'!N36</f>
        <v>6.4093568602985332E-2</v>
      </c>
      <c r="K15" s="1"/>
      <c r="L15" s="1"/>
      <c r="M15" s="1"/>
    </row>
    <row r="16" spans="1:16" x14ac:dyDescent="0.35">
      <c r="B16" s="50"/>
      <c r="C16" s="50"/>
      <c r="D16" s="50"/>
      <c r="E16" s="50"/>
      <c r="F16" s="50"/>
      <c r="G16" s="50"/>
      <c r="H16" s="128"/>
      <c r="I16" s="130"/>
      <c r="K16" s="1"/>
      <c r="L16" s="1"/>
      <c r="M16" s="1"/>
    </row>
    <row r="17" spans="1:13" x14ac:dyDescent="0.35">
      <c r="A17" s="5" t="s">
        <v>127</v>
      </c>
      <c r="B17" s="131">
        <f>'Sch M-2.3 Pg. 2-11'!I50+'Sch M-2.3 Pg. 2-11'!I63+'Sch M-2.3 Pg. 2-11'!I74</f>
        <v>53317110.203203417</v>
      </c>
      <c r="C17" s="131">
        <f>'Sch M-2.3 Pg. 2-11'!I69</f>
        <v>38743321.790414974</v>
      </c>
      <c r="D17" s="131">
        <f>'Sch M-2.3 Pg. 2-11'!I70</f>
        <v>133387.08834277876</v>
      </c>
      <c r="E17" s="131">
        <f>'Sch M-2.3 Pg. 2-11'!K71</f>
        <v>2852888.0237382376</v>
      </c>
      <c r="F17" s="131">
        <f>'Sch M-2.3 Pg. 2-11'!K65</f>
        <v>6070338.7350938208</v>
      </c>
      <c r="G17" s="182">
        <f>SUM(B17:F17)</f>
        <v>101117045.84079324</v>
      </c>
      <c r="H17" s="128">
        <f>'Sch M-2.3 Pg. 2-11'!N78</f>
        <v>6481593.1194082946</v>
      </c>
      <c r="I17" s="130">
        <f>'Sch M-2.3 Pg. 2-11'!N79</f>
        <v>6.4099905861702416E-2</v>
      </c>
      <c r="K17" s="1"/>
      <c r="L17" s="1"/>
      <c r="M17" s="1"/>
    </row>
    <row r="18" spans="1:13" x14ac:dyDescent="0.35">
      <c r="B18" s="131"/>
      <c r="C18" s="131"/>
      <c r="D18" s="131"/>
      <c r="E18" s="131"/>
      <c r="F18" s="131"/>
      <c r="G18" s="131"/>
      <c r="H18" s="128"/>
      <c r="I18" s="130"/>
      <c r="K18" s="1"/>
      <c r="L18" s="1"/>
      <c r="M18" s="1"/>
    </row>
    <row r="19" spans="1:13" x14ac:dyDescent="0.35">
      <c r="A19" s="5" t="s">
        <v>128</v>
      </c>
      <c r="B19" s="131">
        <f>'Sch M-2.3 Pg. 2-11'!I92+'Sch M-2.3 Pg. 2-11'!I104+'Sch M-2.3 Pg. 2-11'!I115</f>
        <v>3919735.9473273829</v>
      </c>
      <c r="C19" s="131">
        <f>'Sch M-2.3 Pg. 2-11'!I110</f>
        <v>3507033.3299594289</v>
      </c>
      <c r="D19" s="131">
        <f>'Sch M-2.3 Pg. 2-11'!I111</f>
        <v>0</v>
      </c>
      <c r="E19" s="131">
        <f>'Sch M-2.3 Pg. 2-11'!K112</f>
        <v>332527.40576014994</v>
      </c>
      <c r="F19" s="131">
        <f>'Sch M-2.3 Pg. 2-11'!K106</f>
        <v>709688.37983489479</v>
      </c>
      <c r="G19" s="182">
        <f>SUM(B19:F19)</f>
        <v>8468985.0628818553</v>
      </c>
      <c r="H19" s="128">
        <f>'Sch M-2.3 Pg. 2-11'!N119</f>
        <v>-5.7318156808614731</v>
      </c>
      <c r="I19" s="130">
        <f>'Sch M-2.3 Pg. 2-11'!N120</f>
        <v>-6.7680077816916464E-7</v>
      </c>
      <c r="K19" s="1"/>
      <c r="L19" s="1"/>
      <c r="M19" s="1"/>
    </row>
    <row r="20" spans="1:13" x14ac:dyDescent="0.35">
      <c r="B20" s="131"/>
      <c r="C20" s="131"/>
      <c r="D20" s="131"/>
      <c r="E20" s="131"/>
      <c r="F20" s="131"/>
      <c r="G20" s="131"/>
      <c r="H20" s="128"/>
      <c r="I20" s="130"/>
      <c r="K20" s="1"/>
      <c r="L20" s="1"/>
      <c r="M20" s="1"/>
    </row>
    <row r="21" spans="1:13" x14ac:dyDescent="0.35">
      <c r="A21" s="5" t="s">
        <v>129</v>
      </c>
      <c r="B21" s="131">
        <f>'Sch M-2.3 Pg. 2-11'!I130+'Sch M-2.3 Pg. 2-11'!I139+'Sch M-2.3 Pg. 2-11'!I150</f>
        <v>183896.0182711696</v>
      </c>
      <c r="C21" s="131">
        <f>'Sch M-2.3 Pg. 2-11'!I145</f>
        <v>178832.92277828581</v>
      </c>
      <c r="D21" s="131">
        <f>'Sch M-2.3 Pg. 2-11'!I146</f>
        <v>436.95710952000752</v>
      </c>
      <c r="E21" s="131">
        <f>'Sch M-2.3 Pg. 2-11'!K147</f>
        <v>18775.517071143629</v>
      </c>
      <c r="F21" s="131">
        <f>'Sch M-2.3 Pg. 2-11'!K141</f>
        <v>37728.318398582102</v>
      </c>
      <c r="G21" s="182">
        <f>SUM(B21:F21)</f>
        <v>419669.73362870113</v>
      </c>
      <c r="H21" s="131">
        <f>'Sch M-2.3 Pg. 2-11'!N154</f>
        <v>98815.381055314443</v>
      </c>
      <c r="I21" s="132">
        <f>'Sch M-2.3 Pg. 2-11'!N155</f>
        <v>0.23545987031492824</v>
      </c>
      <c r="K21" s="1"/>
      <c r="L21" s="1"/>
      <c r="M21" s="1"/>
    </row>
    <row r="22" spans="1:13" x14ac:dyDescent="0.35">
      <c r="B22" s="131"/>
      <c r="C22" s="131"/>
      <c r="D22" s="131"/>
      <c r="E22" s="131"/>
      <c r="F22" s="131"/>
      <c r="G22" s="131"/>
      <c r="H22" s="128"/>
      <c r="I22" s="130"/>
      <c r="K22" s="1"/>
      <c r="L22" s="1"/>
      <c r="M22" s="1"/>
    </row>
    <row r="23" spans="1:13" x14ac:dyDescent="0.35">
      <c r="A23" s="5" t="s">
        <v>130</v>
      </c>
      <c r="B23" s="131">
        <f>'Sch M-2.3 Pg. 2-11'!I167+'Sch M-2.3 Pg. 2-11'!I178</f>
        <v>6363755.4728503563</v>
      </c>
      <c r="C23" s="131">
        <f>'Sch M-2.3 Pg. 2-11'!I173</f>
        <v>0</v>
      </c>
      <c r="D23" s="131">
        <f>'Sch M-2.3 Pg. 2-11'!I174</f>
        <v>0</v>
      </c>
      <c r="E23" s="131">
        <f>'Sch M-2.3 Pg. 2-11'!K175</f>
        <v>81450.801033908385</v>
      </c>
      <c r="F23" s="131">
        <f>'Sch M-2.3 Pg. 2-11'!K169</f>
        <v>173248.80759642037</v>
      </c>
      <c r="G23" s="182">
        <f>SUM(B23:F23)</f>
        <v>6618455.0814806847</v>
      </c>
      <c r="H23" s="131">
        <f>'Sch M-2.3 Pg. 2-11'!N182</f>
        <v>2349185.5065123318</v>
      </c>
      <c r="I23" s="132">
        <f>'Sch M-2.3 Pg. 2-11'!N183</f>
        <v>0.35494469292171588</v>
      </c>
      <c r="K23" s="1"/>
      <c r="L23" s="1"/>
      <c r="M23" s="1"/>
    </row>
    <row r="24" spans="1:13" x14ac:dyDescent="0.35">
      <c r="B24" s="131"/>
      <c r="C24" s="131"/>
      <c r="D24" s="131"/>
      <c r="E24" s="131"/>
      <c r="F24" s="131"/>
      <c r="G24" s="131"/>
      <c r="H24" s="128"/>
      <c r="I24" s="130"/>
      <c r="K24" s="1"/>
      <c r="L24" s="1"/>
      <c r="M24" s="1"/>
    </row>
    <row r="25" spans="1:13" x14ac:dyDescent="0.35">
      <c r="A25" s="5" t="s">
        <v>24</v>
      </c>
      <c r="B25" s="131">
        <f>'Sch M-2.3 Pg. 2-11'!I195</f>
        <v>2261643.0036800033</v>
      </c>
      <c r="C25" s="131">
        <f>'Sch M-2.3 Pg. 2-11'!I201</f>
        <v>953711.90882290469</v>
      </c>
      <c r="D25" s="131">
        <f>'Sch M-2.3 Pg. 2-11'!I202</f>
        <v>0</v>
      </c>
      <c r="E25" s="131">
        <f>'Sch M-2.3 Pg. 2-11'!K203</f>
        <v>0</v>
      </c>
      <c r="F25" s="131">
        <f>'Sch M-2.3 Pg. 2-11'!K197</f>
        <v>0</v>
      </c>
      <c r="G25" s="182">
        <f>SUM(B25:F25)</f>
        <v>3215354.9125029081</v>
      </c>
      <c r="H25" s="131">
        <f>'Sch M-2.3 Pg. 2-11'!N207</f>
        <v>1591.5193028221838</v>
      </c>
      <c r="I25" s="129">
        <f>'Sch M-2.3 Pg. 2-11'!N208</f>
        <v>4.9497469054926428E-4</v>
      </c>
      <c r="K25" s="1"/>
      <c r="L25" s="1"/>
      <c r="M25" s="1"/>
    </row>
    <row r="26" spans="1:13" x14ac:dyDescent="0.35">
      <c r="B26" s="131"/>
      <c r="C26" s="131"/>
      <c r="D26" s="131"/>
      <c r="E26" s="131"/>
      <c r="F26" s="131"/>
      <c r="G26" s="131"/>
      <c r="H26" s="131"/>
      <c r="I26" s="132"/>
      <c r="K26" s="1"/>
      <c r="L26" s="1"/>
      <c r="M26" s="1"/>
    </row>
    <row r="27" spans="1:13" x14ac:dyDescent="0.35">
      <c r="A27" s="5" t="s">
        <v>131</v>
      </c>
      <c r="B27" s="131">
        <f>'Sch M-2.3 Pg. 2-11'!I220+'Sch M-2.3 Pg. 2-11'!I231+'Sch M-2.3 Pg. 2-11'!I242</f>
        <v>17039.870000000003</v>
      </c>
      <c r="C27" s="131">
        <f>'Sch M-2.3 Pg. 2-11'!I237</f>
        <v>27.255393148949402</v>
      </c>
      <c r="D27" s="131">
        <f>'Sch M-2.3 Pg. 2-11'!I238</f>
        <v>0</v>
      </c>
      <c r="E27" s="131">
        <f>'Sch M-2.3 Pg. 2-11'!K239</f>
        <v>971.79164035964698</v>
      </c>
      <c r="F27" s="131">
        <f>'Sch M-2.3 Pg. 2-11'!K233</f>
        <v>1884.3946210446152</v>
      </c>
      <c r="G27" s="182">
        <f>SUM(B27:F27)</f>
        <v>19923.311654553214</v>
      </c>
      <c r="H27" s="131">
        <f>'Sch M-2.3 Pg. 2-11'!N246</f>
        <v>-1893.6646210446197</v>
      </c>
      <c r="I27" s="132">
        <f>'Sch M-2.3 Pg. 2-11'!N247</f>
        <v>-9.5047683531660626E-2</v>
      </c>
      <c r="K27" s="1"/>
      <c r="L27" s="1"/>
      <c r="M27" s="1"/>
    </row>
    <row r="28" spans="1:13" x14ac:dyDescent="0.35">
      <c r="B28" s="131"/>
      <c r="C28" s="131"/>
      <c r="D28" s="131"/>
      <c r="E28" s="131"/>
      <c r="F28" s="131"/>
      <c r="G28" s="131"/>
      <c r="H28" s="131"/>
      <c r="I28" s="132"/>
      <c r="K28" s="1"/>
      <c r="L28" s="1"/>
      <c r="M28" s="1"/>
    </row>
    <row r="29" spans="1:13" x14ac:dyDescent="0.35">
      <c r="A29" s="5" t="s">
        <v>123</v>
      </c>
      <c r="B29" s="131">
        <f>'Sch M-2.3 Pg. 2-11'!I258</f>
        <v>161400.45000000001</v>
      </c>
      <c r="C29" s="131">
        <f>'Sch M-2.3 Pg. 2-11'!I264</f>
        <v>5887.3392885273897</v>
      </c>
      <c r="D29" s="131">
        <f>'Sch M-2.3 Pg. 2-11'!I265</f>
        <v>10.331394286072639</v>
      </c>
      <c r="E29" s="131">
        <f>'Sch M-2.3 Pg. 2-11'!K266</f>
        <v>8071.3625777875632</v>
      </c>
      <c r="F29" s="131">
        <f>'Sch M-2.3 Pg. 2-11'!K260</f>
        <v>15025.63173047614</v>
      </c>
      <c r="G29" s="182">
        <f>SUM(B29:F29)</f>
        <v>190395.11499107716</v>
      </c>
      <c r="H29" s="128">
        <f>'Sch M-2.3 Pg. 2-11'!N270</f>
        <v>289.81826952385018</v>
      </c>
      <c r="I29" s="129">
        <f>'Sch M-2.3 Pg. 2-11'!N272</f>
        <v>0</v>
      </c>
      <c r="K29" s="1"/>
      <c r="L29" s="1"/>
      <c r="M29" s="1"/>
    </row>
    <row r="30" spans="1:13" x14ac:dyDescent="0.35">
      <c r="B30" s="131"/>
      <c r="C30" s="131"/>
      <c r="D30" s="131"/>
      <c r="E30" s="131"/>
      <c r="F30" s="131"/>
      <c r="G30" s="182"/>
      <c r="H30" s="128"/>
      <c r="I30" s="129"/>
      <c r="K30" s="1"/>
      <c r="L30" s="1"/>
      <c r="M30" s="1"/>
    </row>
    <row r="31" spans="1:13" x14ac:dyDescent="0.35">
      <c r="A31" s="5" t="s">
        <v>124</v>
      </c>
      <c r="B31" s="131">
        <f>'Sch M-2.3 Pg. 2-11'!I282</f>
        <v>0</v>
      </c>
      <c r="C31" s="131">
        <f>'Sch M-2.3 Pg. 2-11'!I288</f>
        <v>0</v>
      </c>
      <c r="D31" s="131">
        <f>'Sch M-2.3 Pg. 2-11'!I289</f>
        <v>0</v>
      </c>
      <c r="E31" s="131">
        <f>'Sch M-2.3 Pg. 2-11'!K290</f>
        <v>0</v>
      </c>
      <c r="F31" s="131">
        <f>'Sch M-2.3 Pg. 2-11'!K284</f>
        <v>0</v>
      </c>
      <c r="G31" s="182">
        <f>SUM(B31:F31)</f>
        <v>0</v>
      </c>
      <c r="H31" s="128">
        <f>'Sch M-2.3 Pg. 2-11'!N294</f>
        <v>0</v>
      </c>
      <c r="I31" s="129">
        <f>'Sch M-2.3 Pg. 2-11'!N296</f>
        <v>0</v>
      </c>
      <c r="K31" s="1"/>
      <c r="L31" s="1"/>
      <c r="M31" s="1"/>
    </row>
    <row r="32" spans="1:13" x14ac:dyDescent="0.35">
      <c r="B32" s="131"/>
      <c r="C32" s="131"/>
      <c r="D32" s="131"/>
      <c r="E32" s="131"/>
      <c r="F32" s="131"/>
      <c r="G32" s="182"/>
      <c r="H32" s="128"/>
      <c r="I32" s="129"/>
      <c r="K32" s="1"/>
      <c r="L32" s="1"/>
      <c r="M32" s="1"/>
    </row>
    <row r="33" spans="1:13" x14ac:dyDescent="0.35">
      <c r="A33" s="5" t="s">
        <v>125</v>
      </c>
      <c r="B33" s="128">
        <f>'Sch M-2.3 Pg. 2-11'!I307</f>
        <v>0</v>
      </c>
      <c r="C33" s="128">
        <f>'Sch M-2.3 Pg. 2-11'!I313</f>
        <v>0</v>
      </c>
      <c r="D33" s="128">
        <f>'Sch M-2.3 Pg. 2-11'!I314</f>
        <v>0</v>
      </c>
      <c r="E33" s="128">
        <f>'Sch M-2.3 Pg. 2-11'!K315</f>
        <v>0</v>
      </c>
      <c r="F33" s="128">
        <f>'Sch M-2.3 Pg. 2-11'!K309</f>
        <v>0</v>
      </c>
      <c r="G33" s="127">
        <f>SUM(B33:F33)</f>
        <v>0</v>
      </c>
      <c r="H33" s="128">
        <f>'Sch M-2.3 Pg. 2-11'!N319</f>
        <v>0</v>
      </c>
      <c r="I33" s="129">
        <f>'Sch M-2.3 Pg. 2-11'!N320</f>
        <v>0</v>
      </c>
      <c r="K33" s="1"/>
      <c r="L33" s="1"/>
      <c r="M33" s="1"/>
    </row>
    <row r="34" spans="1:13" x14ac:dyDescent="0.35">
      <c r="B34" s="126"/>
      <c r="C34" s="126"/>
      <c r="D34" s="126"/>
      <c r="E34" s="126"/>
      <c r="F34" s="126"/>
      <c r="G34" s="50"/>
      <c r="H34" s="126"/>
      <c r="I34" s="126"/>
    </row>
    <row r="35" spans="1:13" x14ac:dyDescent="0.35">
      <c r="A35" s="5" t="s">
        <v>30</v>
      </c>
      <c r="B35" s="133">
        <f t="shared" ref="B35:D35" si="0">SUM(B14:B34)</f>
        <v>209522003.77398077</v>
      </c>
      <c r="C35" s="133">
        <f t="shared" si="0"/>
        <v>116430011.86121219</v>
      </c>
      <c r="D35" s="133">
        <f t="shared" si="0"/>
        <v>369540.68353499874</v>
      </c>
      <c r="E35" s="133">
        <f>SUM(E14:E34)</f>
        <v>10181350.129238538</v>
      </c>
      <c r="F35" s="133">
        <f>SUM(F15:F33)</f>
        <v>21656100.949552592</v>
      </c>
      <c r="G35" s="133">
        <f>SUM(G14:G34)</f>
        <v>358159007.39751911</v>
      </c>
      <c r="H35" s="133">
        <f t="shared" ref="H35" si="1">SUM(H14:H34)</f>
        <v>24190842.905020297</v>
      </c>
      <c r="I35" s="134">
        <f>H35/G35</f>
        <v>6.754218770260044E-2</v>
      </c>
    </row>
    <row r="36" spans="1:13" x14ac:dyDescent="0.35">
      <c r="B36" s="126"/>
      <c r="C36" s="126"/>
      <c r="D36" s="126"/>
      <c r="E36" s="126"/>
      <c r="F36" s="126"/>
      <c r="G36" s="50"/>
      <c r="H36" s="135"/>
      <c r="I36" s="132"/>
    </row>
    <row r="37" spans="1:13" x14ac:dyDescent="0.35">
      <c r="A37" s="183" t="str">
        <f>'Sch M-2.1-G'!A39</f>
        <v>Late Payment Charges</v>
      </c>
      <c r="B37" s="195">
        <f>'Sch M-2.1-G'!B39</f>
        <v>1097666.818</v>
      </c>
      <c r="C37" s="50"/>
      <c r="D37" s="50"/>
      <c r="E37" s="50"/>
      <c r="F37" s="50"/>
      <c r="G37" s="131">
        <f>B37</f>
        <v>1097666.818</v>
      </c>
      <c r="H37" s="135">
        <f>'Sch M-2.1-G'!D39</f>
        <v>0</v>
      </c>
      <c r="I37" s="132">
        <f>'Sch M-2.1-G'!E39</f>
        <v>0</v>
      </c>
    </row>
    <row r="38" spans="1:13" x14ac:dyDescent="0.35">
      <c r="A38" s="179" t="str">
        <f>'Sch M-2.1-G'!A40</f>
        <v>Miscellaneous Service Revenue</v>
      </c>
      <c r="B38" s="195">
        <f>'Sch M-2.1-G'!B40</f>
        <v>96475.293333333349</v>
      </c>
      <c r="C38" s="50"/>
      <c r="D38" s="50"/>
      <c r="E38" s="50"/>
      <c r="F38" s="50"/>
      <c r="G38" s="131">
        <f t="shared" ref="G38:G40" si="2">B38</f>
        <v>96475.293333333349</v>
      </c>
      <c r="H38" s="135">
        <f>'Sch M-2.1-G'!D40</f>
        <v>8768.9785656521253</v>
      </c>
      <c r="I38" s="132">
        <f>'Sch M-2.1-G'!E40</f>
        <v>9.0893515455343424E-2</v>
      </c>
    </row>
    <row r="39" spans="1:13" x14ac:dyDescent="0.35">
      <c r="A39" s="179" t="str">
        <f>'Sch M-2.1-G'!A41</f>
        <v>Rent from Gas Property</v>
      </c>
      <c r="B39" s="195">
        <f>'Sch M-2.1-G'!B41</f>
        <v>164430</v>
      </c>
      <c r="C39" s="50"/>
      <c r="D39" s="50"/>
      <c r="E39" s="50"/>
      <c r="F39" s="50"/>
      <c r="G39" s="131">
        <f t="shared" si="2"/>
        <v>164430</v>
      </c>
      <c r="H39" s="135">
        <f>'Sch M-2.1-G'!D41</f>
        <v>0</v>
      </c>
      <c r="I39" s="132">
        <f>'Sch M-2.1-G'!E41</f>
        <v>0</v>
      </c>
    </row>
    <row r="40" spans="1:13" x14ac:dyDescent="0.35">
      <c r="A40" s="179" t="str">
        <f>'Sch M-2.1-G'!A42</f>
        <v>Other Gas Revenue</v>
      </c>
      <c r="B40" s="195">
        <f>'Sch M-2.1-G'!B42</f>
        <v>14336.580000000004</v>
      </c>
      <c r="C40" s="50"/>
      <c r="D40" s="50"/>
      <c r="E40" s="50"/>
      <c r="F40" s="50"/>
      <c r="G40" s="131">
        <f t="shared" si="2"/>
        <v>14336.580000000004</v>
      </c>
      <c r="H40" s="135">
        <f>'Sch M-2.1-G'!D42</f>
        <v>0</v>
      </c>
      <c r="I40" s="132">
        <f>'Sch M-2.1-G'!E42</f>
        <v>0</v>
      </c>
    </row>
    <row r="41" spans="1:13" x14ac:dyDescent="0.35">
      <c r="A41" s="6"/>
      <c r="B41" s="50"/>
      <c r="C41" s="50"/>
      <c r="D41" s="50"/>
      <c r="E41" s="50"/>
      <c r="F41" s="50"/>
      <c r="G41" s="50"/>
      <c r="H41" s="50"/>
      <c r="I41" s="50"/>
    </row>
    <row r="42" spans="1:13" ht="16" thickBot="1" x14ac:dyDescent="0.4">
      <c r="A42" s="6" t="s">
        <v>25</v>
      </c>
      <c r="B42" s="222">
        <f>+B35+SUM(B37:B40)</f>
        <v>210894912.46531409</v>
      </c>
      <c r="C42" s="222">
        <f>+C35+SUM(C37:C40)</f>
        <v>116430011.86121219</v>
      </c>
      <c r="D42" s="222">
        <f>+D35+SUM(D37:D40)</f>
        <v>369540.68353499874</v>
      </c>
      <c r="E42" s="222">
        <f>+E35+SUM(E37:E40)</f>
        <v>10181350.129238538</v>
      </c>
      <c r="F42" s="222">
        <f>F35</f>
        <v>21656100.949552592</v>
      </c>
      <c r="G42" s="222">
        <f>+G35+SUM(G37:G40)</f>
        <v>359531916.08885247</v>
      </c>
      <c r="H42" s="222">
        <f>+H35+SUM(H37:H40)</f>
        <v>24199611.883585948</v>
      </c>
      <c r="I42" s="223">
        <f>H42/G42</f>
        <v>6.7308661069203676E-2</v>
      </c>
    </row>
    <row r="43" spans="1:13" ht="16" thickTop="1" x14ac:dyDescent="0.35">
      <c r="G43" s="6"/>
      <c r="H43" s="6"/>
      <c r="I43" s="6"/>
    </row>
    <row r="44" spans="1:13" x14ac:dyDescent="0.35">
      <c r="B44" s="185"/>
    </row>
    <row r="45" spans="1:13" x14ac:dyDescent="0.35">
      <c r="B45" s="56"/>
      <c r="C45" s="56"/>
      <c r="D45" s="56"/>
      <c r="E45" s="56"/>
      <c r="F45" s="56"/>
      <c r="G45" s="56"/>
      <c r="H45" s="56"/>
      <c r="I45" s="56"/>
    </row>
    <row r="49" spans="10:17" x14ac:dyDescent="0.35">
      <c r="J49" s="54"/>
    </row>
    <row r="53" spans="10:17" x14ac:dyDescent="0.35">
      <c r="K53" s="115"/>
      <c r="Q53" s="136"/>
    </row>
    <row r="54" spans="10:17" x14ac:dyDescent="0.35">
      <c r="K54" s="115"/>
    </row>
    <row r="55" spans="10:17" x14ac:dyDescent="0.35">
      <c r="K55" s="115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75" right="0.75" top="1.75" bottom="0.5" header="0.75" footer="0.25"/>
  <pageSetup scale="55" orientation="landscape" r:id="rId1"/>
  <headerFooter>
    <oddHeader xml:space="preserve">&amp;C&amp;"Times New Roman,Bold"&amp;12
</oddHead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3">
    <tabColor theme="6" tint="0.39997558519241921"/>
    <pageSetUpPr fitToPage="1"/>
  </sheetPr>
  <dimension ref="A1:S326"/>
  <sheetViews>
    <sheetView zoomScaleNormal="100" zoomScaleSheetLayoutView="70" workbookViewId="0">
      <pane xSplit="3" topLeftCell="G1" activePane="topRight" state="frozen"/>
      <selection sqref="A1:E1"/>
      <selection pane="topRight" activeCell="B1" sqref="B1:N1"/>
    </sheetView>
  </sheetViews>
  <sheetFormatPr defaultColWidth="9.1796875" defaultRowHeight="15.5" outlineLevelRow="1" x14ac:dyDescent="0.35"/>
  <cols>
    <col min="1" max="1" width="17.26953125" style="6" customWidth="1"/>
    <col min="2" max="2" width="5.81640625" style="17" customWidth="1"/>
    <col min="3" max="3" width="49.6328125" style="17" customWidth="1"/>
    <col min="4" max="4" width="15.81640625" style="17" hidden="1" customWidth="1"/>
    <col min="5" max="5" width="14" style="25" bestFit="1" customWidth="1"/>
    <col min="6" max="6" width="12.6328125" style="25" bestFit="1" customWidth="1"/>
    <col min="7" max="7" width="18.7265625" style="25" bestFit="1" customWidth="1"/>
    <col min="8" max="8" width="13.81640625" style="17" bestFit="1" customWidth="1"/>
    <col min="9" max="9" width="24.7265625" style="17" customWidth="1"/>
    <col min="10" max="10" width="19.6328125" style="17" bestFit="1" customWidth="1"/>
    <col min="11" max="11" width="24.54296875" style="17" bestFit="1" customWidth="1"/>
    <col min="12" max="12" width="4.26953125" style="17" customWidth="1"/>
    <col min="13" max="13" width="12.453125" style="17" bestFit="1" customWidth="1"/>
    <col min="14" max="14" width="22.90625" style="6" bestFit="1" customWidth="1"/>
    <col min="15" max="15" width="18.26953125" style="6" bestFit="1" customWidth="1"/>
    <col min="16" max="16" width="16.81640625" style="6" customWidth="1"/>
    <col min="17" max="17" width="17.81640625" style="6" customWidth="1"/>
    <col min="18" max="19" width="15.453125" style="6" customWidth="1"/>
    <col min="20" max="16384" width="9.1796875" style="6"/>
  </cols>
  <sheetData>
    <row r="1" spans="1:19" x14ac:dyDescent="0.35">
      <c r="A1" s="4"/>
      <c r="B1" s="279" t="str">
        <f>Index!A5</f>
        <v>LOUISVILLE GAS AND ELECTRIC COMPANY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9" x14ac:dyDescent="0.35">
      <c r="B2" s="279" t="str">
        <f>Index!A7</f>
        <v>CASE NO. 2020-00350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9" x14ac:dyDescent="0.35">
      <c r="B3" s="279" t="str">
        <f>Index!C22</f>
        <v>Calculation of Stipulated Gas Rate Increase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9" x14ac:dyDescent="0.35">
      <c r="B4" s="279" t="str">
        <f>Index!D13</f>
        <v>For the 12 Months Ended June 30, 2022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9" x14ac:dyDescent="0.35">
      <c r="B5" s="276" t="s">
        <v>78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9" x14ac:dyDescent="0.35">
      <c r="I6" s="17" t="s">
        <v>177</v>
      </c>
    </row>
    <row r="7" spans="1:19" x14ac:dyDescent="0.35">
      <c r="B7" s="14" t="str">
        <f>'Sch M-2.1-G'!A10</f>
        <v>DATA:  ____ BASE PERIOD  __X__  FORECAST PERIOD</v>
      </c>
      <c r="C7" s="15"/>
      <c r="D7" s="15"/>
      <c r="E7" s="16"/>
      <c r="F7" s="16"/>
      <c r="G7" s="16"/>
      <c r="H7" s="15"/>
      <c r="N7" s="18" t="str">
        <f>"Schedule" &amp;Index!A22</f>
        <v>ScheduleM-2.3-G</v>
      </c>
    </row>
    <row r="8" spans="1:19" x14ac:dyDescent="0.35">
      <c r="B8" s="19" t="str">
        <f>'Sch M-2.1-G'!A11</f>
        <v>TYPE OF FILING: __X__ ORIGINAL  _____ UPDATED  _____ REVISED</v>
      </c>
      <c r="C8" s="15"/>
      <c r="D8" s="15"/>
      <c r="E8" s="16"/>
      <c r="F8" s="16"/>
      <c r="G8" s="16"/>
      <c r="H8" s="15"/>
      <c r="N8" s="20" t="str">
        <f>'Sch M-2.1-G'!E11</f>
        <v>Witness:  W. S. SEELYE</v>
      </c>
    </row>
    <row r="9" spans="1:19" x14ac:dyDescent="0.35">
      <c r="B9" s="19" t="str">
        <f>'Sch M-2.1-G'!A12</f>
        <v>WORK PAPER REFERENCE NO(S):</v>
      </c>
      <c r="C9" s="15"/>
      <c r="D9" s="15"/>
      <c r="E9" s="16"/>
      <c r="F9" s="16"/>
      <c r="G9" s="16"/>
      <c r="H9" s="15"/>
      <c r="N9" s="121" t="s">
        <v>140</v>
      </c>
    </row>
    <row r="10" spans="1:19" x14ac:dyDescent="0.35">
      <c r="B10" s="21"/>
      <c r="C10" s="22"/>
      <c r="D10" s="23"/>
      <c r="E10" s="24"/>
      <c r="F10" s="187"/>
      <c r="G10" s="187"/>
      <c r="H10" s="186"/>
      <c r="I10" s="187"/>
      <c r="J10" s="187"/>
      <c r="K10" s="187"/>
      <c r="L10" s="187"/>
    </row>
    <row r="11" spans="1:19" ht="16" thickBot="1" x14ac:dyDescent="0.4">
      <c r="H11" s="280" t="s">
        <v>188</v>
      </c>
      <c r="I11" s="281"/>
      <c r="J11" s="280" t="s">
        <v>155</v>
      </c>
      <c r="K11" s="280"/>
      <c r="L11" s="27"/>
      <c r="M11" s="278" t="s">
        <v>197</v>
      </c>
      <c r="N11" s="278"/>
      <c r="O11" s="5"/>
      <c r="P11" s="5"/>
      <c r="Q11" s="5"/>
      <c r="R11" s="5"/>
      <c r="S11" s="5"/>
    </row>
    <row r="12" spans="1:19" x14ac:dyDescent="0.35">
      <c r="I12" s="26"/>
      <c r="J12" s="26"/>
      <c r="K12" s="26"/>
      <c r="L12" s="27"/>
      <c r="M12" s="27"/>
      <c r="N12" s="5"/>
      <c r="O12" s="5"/>
      <c r="P12" s="5"/>
      <c r="Q12" s="5"/>
      <c r="R12" s="5"/>
      <c r="S12" s="5"/>
    </row>
    <row r="13" spans="1:19" ht="31.5" thickBot="1" x14ac:dyDescent="0.4">
      <c r="B13" s="28" t="s">
        <v>7</v>
      </c>
      <c r="C13" s="28"/>
      <c r="D13" s="28"/>
      <c r="E13" s="29" t="s">
        <v>105</v>
      </c>
      <c r="F13" s="30" t="s">
        <v>5</v>
      </c>
      <c r="G13" s="30" t="s">
        <v>86</v>
      </c>
      <c r="H13" s="29" t="s">
        <v>188</v>
      </c>
      <c r="I13" s="29" t="s">
        <v>187</v>
      </c>
      <c r="J13" s="29" t="s">
        <v>156</v>
      </c>
      <c r="K13" s="29" t="s">
        <v>157</v>
      </c>
      <c r="L13" s="31"/>
      <c r="M13" s="32" t="s">
        <v>184</v>
      </c>
      <c r="N13" s="32" t="s">
        <v>185</v>
      </c>
      <c r="O13" s="5"/>
      <c r="P13" s="5"/>
      <c r="Q13" s="5"/>
      <c r="R13" s="5"/>
      <c r="S13" s="5"/>
    </row>
    <row r="14" spans="1:19" x14ac:dyDescent="0.35">
      <c r="B14" s="33"/>
      <c r="C14" s="33"/>
      <c r="D14" s="33"/>
      <c r="E14" s="34"/>
      <c r="F14" s="34"/>
      <c r="G14" s="34"/>
      <c r="H14" s="35"/>
      <c r="I14" s="35"/>
      <c r="J14" s="35"/>
      <c r="K14" s="35"/>
      <c r="L14" s="35"/>
      <c r="M14" s="5"/>
      <c r="N14" s="5"/>
      <c r="O14" s="5"/>
      <c r="P14" s="5"/>
      <c r="Q14" s="5"/>
      <c r="R14" s="5"/>
      <c r="S14" s="5"/>
    </row>
    <row r="15" spans="1:19" x14ac:dyDescent="0.35">
      <c r="B15" s="36" t="s">
        <v>112</v>
      </c>
      <c r="D15" s="37"/>
      <c r="E15" s="26"/>
      <c r="F15" s="26"/>
      <c r="M15" s="5"/>
      <c r="N15" s="5"/>
      <c r="O15" s="5"/>
      <c r="P15" s="5"/>
      <c r="Q15" s="5"/>
      <c r="R15" s="5"/>
      <c r="S15" s="5"/>
    </row>
    <row r="16" spans="1:19" x14ac:dyDescent="0.35">
      <c r="B16" s="37"/>
      <c r="D16" s="37"/>
      <c r="E16" s="26"/>
      <c r="F16" s="26"/>
      <c r="M16" s="5"/>
      <c r="N16" s="5"/>
      <c r="O16" s="5"/>
      <c r="P16" s="5"/>
      <c r="Q16" s="5"/>
      <c r="R16" s="5"/>
      <c r="S16" s="5"/>
    </row>
    <row r="17" spans="1:19" x14ac:dyDescent="0.35">
      <c r="A17" s="6" t="s">
        <v>4</v>
      </c>
      <c r="B17" s="37" t="s">
        <v>113</v>
      </c>
      <c r="D17" s="38"/>
      <c r="M17" s="5"/>
      <c r="N17" s="5"/>
      <c r="O17" s="5"/>
      <c r="P17" s="5"/>
      <c r="Q17" s="5"/>
      <c r="R17" s="5"/>
      <c r="S17" s="5"/>
    </row>
    <row r="18" spans="1:19" x14ac:dyDescent="0.35">
      <c r="B18" s="37"/>
      <c r="C18" s="58" t="s">
        <v>94</v>
      </c>
      <c r="D18" s="38"/>
      <c r="E18" s="194"/>
      <c r="M18" s="5"/>
      <c r="N18" s="5"/>
      <c r="O18" s="5"/>
      <c r="P18" s="229">
        <v>0.98</v>
      </c>
      <c r="Q18" s="5" t="s">
        <v>164</v>
      </c>
      <c r="R18" s="5"/>
      <c r="S18" s="5"/>
    </row>
    <row r="19" spans="1:19" x14ac:dyDescent="0.35">
      <c r="B19" s="39"/>
      <c r="C19" s="6" t="s">
        <v>107</v>
      </c>
      <c r="D19" s="40"/>
      <c r="E19" s="53">
        <v>110103074</v>
      </c>
      <c r="F19" s="53"/>
      <c r="H19" s="42">
        <v>0.65</v>
      </c>
      <c r="I19" s="41">
        <f>+E19*H19</f>
        <v>71566998.100000009</v>
      </c>
      <c r="J19" s="63">
        <f>H19</f>
        <v>0.65</v>
      </c>
      <c r="K19" s="41">
        <f>E19*J19</f>
        <v>71566998.100000009</v>
      </c>
      <c r="L19" s="41"/>
      <c r="M19" s="270">
        <f>J19</f>
        <v>0.65</v>
      </c>
      <c r="N19" s="41">
        <f>E19*M19</f>
        <v>71566998.100000009</v>
      </c>
      <c r="O19" s="115"/>
      <c r="P19" s="74">
        <f>P18*365.25/12</f>
        <v>29.828749999999999</v>
      </c>
      <c r="Q19" s="5" t="s">
        <v>181</v>
      </c>
      <c r="R19" s="5"/>
      <c r="S19" s="5"/>
    </row>
    <row r="20" spans="1:19" x14ac:dyDescent="0.35">
      <c r="B20" s="39"/>
      <c r="C20" s="208" t="s">
        <v>87</v>
      </c>
      <c r="E20" s="189"/>
      <c r="F20" s="53">
        <v>19501502.014204904</v>
      </c>
      <c r="H20" s="43">
        <v>3.6781999999999999</v>
      </c>
      <c r="I20" s="44">
        <f>+F20*H20</f>
        <v>71730424.708648473</v>
      </c>
      <c r="J20" s="198">
        <f>H20</f>
        <v>3.6781999999999999</v>
      </c>
      <c r="K20" s="44">
        <f>F20*J20</f>
        <v>71730424.708648473</v>
      </c>
      <c r="L20" s="41"/>
      <c r="M20" s="228">
        <v>5.2119</v>
      </c>
      <c r="N20" s="44">
        <f>F20*M20</f>
        <v>101639878.34783454</v>
      </c>
      <c r="O20" s="115"/>
      <c r="P20" s="74">
        <f>M19*365.25/12</f>
        <v>19.784375000000001</v>
      </c>
      <c r="Q20" s="5" t="s">
        <v>169</v>
      </c>
      <c r="R20" s="5"/>
      <c r="S20" s="5"/>
    </row>
    <row r="21" spans="1:19" x14ac:dyDescent="0.35">
      <c r="C21" s="37" t="s">
        <v>153</v>
      </c>
      <c r="F21" s="45"/>
      <c r="H21" s="43"/>
      <c r="I21" s="48">
        <f>SUM(I19:I20)</f>
        <v>143297422.80864847</v>
      </c>
      <c r="J21" s="48"/>
      <c r="K21" s="48">
        <f>SUM(K19:K20)</f>
        <v>143297422.80864847</v>
      </c>
      <c r="L21" s="41"/>
      <c r="M21" s="43"/>
      <c r="N21" s="48">
        <f>SUM(N18:N20)</f>
        <v>173206876.44783455</v>
      </c>
      <c r="P21" s="5"/>
      <c r="Q21" s="5"/>
      <c r="R21" s="5"/>
      <c r="S21" s="5"/>
    </row>
    <row r="22" spans="1:19" x14ac:dyDescent="0.35">
      <c r="C22" s="46"/>
      <c r="F22" s="45"/>
      <c r="H22" s="43"/>
      <c r="I22" s="41"/>
      <c r="J22" s="41"/>
      <c r="K22" s="41"/>
      <c r="L22" s="41"/>
      <c r="M22" s="43"/>
      <c r="N22" s="41"/>
      <c r="O22" s="5"/>
      <c r="P22" s="5"/>
      <c r="Q22" s="5"/>
      <c r="R22" s="5"/>
      <c r="S22" s="5"/>
    </row>
    <row r="23" spans="1:19" x14ac:dyDescent="0.35">
      <c r="C23" s="37" t="s">
        <v>154</v>
      </c>
      <c r="F23" s="45"/>
      <c r="G23" s="25" t="s">
        <v>91</v>
      </c>
      <c r="H23" s="47">
        <v>1</v>
      </c>
      <c r="I23" s="48">
        <f>I21/H23</f>
        <v>143297422.80864847</v>
      </c>
      <c r="J23" s="47">
        <v>1</v>
      </c>
      <c r="K23" s="48">
        <f>K21*J23</f>
        <v>143297422.80864847</v>
      </c>
      <c r="L23" s="48"/>
      <c r="M23" s="47">
        <f>H23</f>
        <v>1</v>
      </c>
      <c r="N23" s="48">
        <f>N21/M23</f>
        <v>173206876.44783455</v>
      </c>
      <c r="O23" s="5"/>
      <c r="P23" s="5"/>
      <c r="Q23" s="5"/>
      <c r="R23" s="5"/>
      <c r="S23" s="5"/>
    </row>
    <row r="24" spans="1:19" x14ac:dyDescent="0.35">
      <c r="C24" s="37"/>
      <c r="F24" s="45"/>
      <c r="H24" s="47"/>
      <c r="I24" s="48"/>
      <c r="J24" s="47"/>
      <c r="K24" s="48"/>
      <c r="L24" s="48"/>
      <c r="M24" s="47"/>
      <c r="N24" s="48"/>
      <c r="O24" s="5"/>
      <c r="P24" s="5"/>
      <c r="Q24" s="5"/>
      <c r="R24" s="5"/>
      <c r="S24" s="5"/>
    </row>
    <row r="25" spans="1:19" x14ac:dyDescent="0.35">
      <c r="C25" s="17" t="s">
        <v>158</v>
      </c>
      <c r="F25" s="45"/>
      <c r="H25" s="47"/>
      <c r="I25" s="48"/>
      <c r="J25" s="47"/>
      <c r="K25" s="41">
        <f>I31-K31</f>
        <v>14648186.682277357</v>
      </c>
      <c r="L25" s="48"/>
      <c r="M25" s="47"/>
      <c r="N25" s="41"/>
      <c r="Q25" s="5"/>
      <c r="R25" s="5"/>
      <c r="S25" s="5"/>
    </row>
    <row r="26" spans="1:19" x14ac:dyDescent="0.35">
      <c r="F26" s="49"/>
      <c r="M26" s="5"/>
      <c r="N26" s="5"/>
      <c r="Q26" s="5"/>
      <c r="R26" s="5"/>
      <c r="S26" s="5"/>
    </row>
    <row r="27" spans="1:19" ht="16" thickBot="1" x14ac:dyDescent="0.4">
      <c r="C27" s="37" t="s">
        <v>163</v>
      </c>
      <c r="F27" s="49"/>
      <c r="I27" s="51">
        <f>I23+I25</f>
        <v>143297422.80864847</v>
      </c>
      <c r="K27" s="51">
        <f>K23+K25</f>
        <v>157945609.49092582</v>
      </c>
      <c r="M27" s="5"/>
      <c r="N27" s="51">
        <f>N23+N25</f>
        <v>173206876.44783455</v>
      </c>
      <c r="Q27" s="5"/>
      <c r="R27" s="5"/>
      <c r="S27" s="5"/>
    </row>
    <row r="28" spans="1:19" ht="16" thickTop="1" x14ac:dyDescent="0.35">
      <c r="F28" s="49"/>
      <c r="M28" s="5"/>
      <c r="N28" s="5"/>
      <c r="Q28" s="5"/>
      <c r="R28" s="5"/>
      <c r="S28" s="5"/>
    </row>
    <row r="29" spans="1:19" x14ac:dyDescent="0.35">
      <c r="C29" s="46" t="s">
        <v>34</v>
      </c>
      <c r="I29" s="41">
        <v>73041197.31455493</v>
      </c>
      <c r="J29" s="41"/>
      <c r="K29" s="41">
        <v>73041197.31455493</v>
      </c>
      <c r="L29" s="41"/>
      <c r="M29" s="5"/>
      <c r="N29" s="41">
        <f>I29</f>
        <v>73041197.31455493</v>
      </c>
      <c r="O29" s="192"/>
      <c r="Q29" s="5"/>
      <c r="R29" s="5"/>
      <c r="S29" s="5"/>
    </row>
    <row r="30" spans="1:19" ht="16.5" customHeight="1" x14ac:dyDescent="0.35">
      <c r="C30" s="46" t="s">
        <v>35</v>
      </c>
      <c r="D30" s="6"/>
      <c r="E30" s="50"/>
      <c r="F30" s="50"/>
      <c r="G30" s="50"/>
      <c r="H30" s="6"/>
      <c r="I30" s="41">
        <v>235706.3066884139</v>
      </c>
      <c r="J30" s="41"/>
      <c r="K30" s="41">
        <v>235706.3066884139</v>
      </c>
      <c r="L30" s="41"/>
      <c r="M30" s="5"/>
      <c r="N30" s="41">
        <f>I30</f>
        <v>235706.3066884139</v>
      </c>
      <c r="O30" s="74"/>
      <c r="P30" s="193"/>
      <c r="Q30" s="5"/>
      <c r="R30" s="5"/>
      <c r="S30" s="5"/>
    </row>
    <row r="31" spans="1:19" x14ac:dyDescent="0.35">
      <c r="C31" s="46" t="s">
        <v>31</v>
      </c>
      <c r="D31" s="6"/>
      <c r="E31" s="50"/>
      <c r="F31" s="50"/>
      <c r="G31" s="50"/>
      <c r="H31" s="6"/>
      <c r="I31" s="41">
        <v>21534851.90969431</v>
      </c>
      <c r="J31" s="41"/>
      <c r="K31" s="41">
        <v>6886665.2274169531</v>
      </c>
      <c r="L31" s="41"/>
      <c r="M31" s="5"/>
      <c r="N31" s="41">
        <f>K31</f>
        <v>6886665.2274169531</v>
      </c>
      <c r="O31" s="5"/>
      <c r="P31" s="5"/>
      <c r="Q31" s="5"/>
      <c r="R31" s="5"/>
      <c r="S31" s="5"/>
    </row>
    <row r="32" spans="1:19" x14ac:dyDescent="0.35">
      <c r="B32" s="6"/>
    </row>
    <row r="33" spans="1:19" ht="16" thickBot="1" x14ac:dyDescent="0.4">
      <c r="B33" s="37" t="s">
        <v>152</v>
      </c>
      <c r="C33" s="37"/>
      <c r="I33" s="51">
        <f>SUM(I27:I31)</f>
        <v>238109178.33958614</v>
      </c>
      <c r="J33" s="52"/>
      <c r="K33" s="51">
        <f>SUM(K27:K31)</f>
        <v>238109178.33958614</v>
      </c>
      <c r="L33" s="52"/>
      <c r="M33" s="5"/>
      <c r="N33" s="51">
        <f>SUM(N27:N31)</f>
        <v>253370445.29649487</v>
      </c>
      <c r="Q33" s="5"/>
      <c r="R33" s="5"/>
      <c r="S33" s="5"/>
    </row>
    <row r="34" spans="1:19" ht="16" thickTop="1" x14ac:dyDescent="0.35">
      <c r="I34" s="52"/>
      <c r="J34" s="52"/>
      <c r="K34" s="52"/>
      <c r="L34" s="52"/>
      <c r="M34" s="5"/>
      <c r="N34" s="5"/>
      <c r="Q34" s="5"/>
      <c r="R34" s="5"/>
      <c r="S34" s="5"/>
    </row>
    <row r="35" spans="1:19" x14ac:dyDescent="0.35">
      <c r="B35" s="37"/>
      <c r="C35" s="55" t="s">
        <v>198</v>
      </c>
      <c r="I35" s="52"/>
      <c r="J35" s="52"/>
      <c r="K35" s="52"/>
      <c r="L35" s="52"/>
      <c r="M35" s="5"/>
      <c r="N35" s="54">
        <f>N33-I33</f>
        <v>15261266.956908733</v>
      </c>
      <c r="O35" s="235">
        <v>15262109.203408357</v>
      </c>
      <c r="P35" s="54" t="s">
        <v>199</v>
      </c>
      <c r="Q35" s="5"/>
      <c r="R35" s="5"/>
      <c r="S35" s="5"/>
    </row>
    <row r="36" spans="1:19" x14ac:dyDescent="0.35">
      <c r="B36" s="37"/>
      <c r="I36" s="52"/>
      <c r="J36" s="52"/>
      <c r="K36" s="52"/>
      <c r="L36" s="52"/>
      <c r="M36" s="5"/>
      <c r="N36" s="57">
        <f>N35/I33</f>
        <v>6.4093568602985332E-2</v>
      </c>
      <c r="O36" s="56">
        <f>N35-O35</f>
        <v>-842.24649962410331</v>
      </c>
      <c r="P36" s="54"/>
      <c r="Q36" s="5"/>
      <c r="R36" s="5"/>
      <c r="S36" s="5"/>
    </row>
    <row r="37" spans="1:19" x14ac:dyDescent="0.35">
      <c r="B37" s="37"/>
      <c r="I37" s="52"/>
      <c r="J37" s="52"/>
      <c r="K37" s="52"/>
      <c r="L37" s="52"/>
      <c r="M37" s="5"/>
      <c r="N37" s="57"/>
      <c r="O37" s="5"/>
      <c r="P37" s="5"/>
      <c r="Q37" s="5"/>
      <c r="R37" s="5"/>
      <c r="S37" s="5"/>
    </row>
    <row r="38" spans="1:19" x14ac:dyDescent="0.35">
      <c r="D38" s="37"/>
      <c r="E38" s="26"/>
      <c r="F38" s="26"/>
      <c r="M38" s="5"/>
      <c r="N38" s="121"/>
      <c r="O38" s="5"/>
      <c r="P38" s="5"/>
      <c r="Q38" s="5"/>
      <c r="R38" s="5"/>
      <c r="S38" s="5"/>
    </row>
    <row r="39" spans="1:19" x14ac:dyDescent="0.35">
      <c r="B39" s="36" t="s">
        <v>15</v>
      </c>
      <c r="D39" s="37"/>
      <c r="E39" s="26"/>
      <c r="F39" s="26"/>
      <c r="M39" s="5"/>
      <c r="N39" s="5"/>
      <c r="O39" s="5"/>
      <c r="P39" s="5"/>
      <c r="Q39" s="5"/>
      <c r="R39" s="5"/>
      <c r="S39" s="5"/>
    </row>
    <row r="40" spans="1:19" x14ac:dyDescent="0.35">
      <c r="B40" s="37"/>
      <c r="M40" s="5"/>
      <c r="N40" s="5"/>
      <c r="O40" s="5"/>
      <c r="P40" s="5"/>
      <c r="Q40" s="5"/>
      <c r="R40" s="5"/>
      <c r="S40" s="5"/>
    </row>
    <row r="41" spans="1:19" x14ac:dyDescent="0.35">
      <c r="A41" s="6" t="s">
        <v>2</v>
      </c>
      <c r="B41" s="37" t="s">
        <v>114</v>
      </c>
      <c r="M41" s="5"/>
      <c r="N41" s="5"/>
      <c r="O41" s="5"/>
      <c r="P41" s="5"/>
      <c r="Q41" s="5"/>
      <c r="R41" s="5"/>
      <c r="S41" s="5"/>
    </row>
    <row r="42" spans="1:19" x14ac:dyDescent="0.35">
      <c r="B42" s="37"/>
      <c r="C42" s="58" t="s">
        <v>94</v>
      </c>
      <c r="E42" s="45"/>
      <c r="M42" s="5"/>
      <c r="N42" s="5"/>
      <c r="P42" s="74">
        <f>M43-J43</f>
        <v>0.33000000000000029</v>
      </c>
      <c r="Q42" s="5"/>
      <c r="R42" s="5"/>
      <c r="S42" s="5"/>
    </row>
    <row r="43" spans="1:19" x14ac:dyDescent="0.35">
      <c r="B43" s="37"/>
      <c r="C43" s="55" t="s">
        <v>110</v>
      </c>
      <c r="E43" s="45">
        <v>8949833</v>
      </c>
      <c r="H43" s="42">
        <v>1.97</v>
      </c>
      <c r="I43" s="41">
        <f>+E43*H43</f>
        <v>17631171.009999998</v>
      </c>
      <c r="J43" s="63">
        <f>H43</f>
        <v>1.97</v>
      </c>
      <c r="K43" s="41">
        <f>E43*J43</f>
        <v>17631171.009999998</v>
      </c>
      <c r="L43" s="41"/>
      <c r="M43" s="230">
        <f>ROUND(J43*Q46/Q45,2)-0.01</f>
        <v>2.3000000000000003</v>
      </c>
      <c r="N43" s="41">
        <f>E43*M43</f>
        <v>20584615.900000002</v>
      </c>
      <c r="O43" s="115"/>
      <c r="P43" s="54">
        <f>H43*E43</f>
        <v>17631171.009999998</v>
      </c>
      <c r="Q43" s="53"/>
      <c r="R43" s="60"/>
      <c r="S43" s="5"/>
    </row>
    <row r="44" spans="1:19" x14ac:dyDescent="0.35">
      <c r="B44" s="59"/>
      <c r="C44" s="55" t="s">
        <v>111</v>
      </c>
      <c r="E44" s="45">
        <v>443985</v>
      </c>
      <c r="H44" s="42">
        <v>9.3699999999999992</v>
      </c>
      <c r="I44" s="41">
        <f>+E44*H44</f>
        <v>4160139.4499999997</v>
      </c>
      <c r="J44" s="63">
        <f>H44</f>
        <v>9.3699999999999992</v>
      </c>
      <c r="K44" s="41">
        <f>E44*J44</f>
        <v>4160139.4499999997</v>
      </c>
      <c r="L44" s="41"/>
      <c r="M44" s="230">
        <f>ROUND(J44*Q46/Q45,2)+0.01</f>
        <v>11</v>
      </c>
      <c r="N44" s="41">
        <f>E44*M44</f>
        <v>4883835</v>
      </c>
      <c r="O44" s="115"/>
      <c r="P44" s="54">
        <f>H44*E44</f>
        <v>4160139.4499999997</v>
      </c>
      <c r="Q44" s="53"/>
      <c r="R44" s="53"/>
      <c r="S44" s="5"/>
    </row>
    <row r="45" spans="1:19" x14ac:dyDescent="0.35">
      <c r="B45" s="59"/>
      <c r="C45" s="61" t="s">
        <v>87</v>
      </c>
      <c r="E45" s="45"/>
      <c r="H45" s="62"/>
      <c r="L45" s="41"/>
      <c r="M45" s="42"/>
      <c r="N45" s="63"/>
      <c r="O45" s="64"/>
      <c r="P45" s="54">
        <f>SUM(P43:P44)</f>
        <v>21791310.459999997</v>
      </c>
      <c r="Q45" s="211">
        <f>P45/SUM(E43:E44)</f>
        <v>2.3197501228999751</v>
      </c>
      <c r="R45" s="53"/>
      <c r="S45" s="5"/>
    </row>
    <row r="46" spans="1:19" x14ac:dyDescent="0.35">
      <c r="B46" s="59"/>
      <c r="C46" s="17" t="s">
        <v>89</v>
      </c>
      <c r="E46" s="66"/>
      <c r="F46" s="45">
        <v>9611323.7157596704</v>
      </c>
      <c r="H46" s="43">
        <v>3.0669999999999997</v>
      </c>
      <c r="I46" s="67">
        <f>+F46*H46</f>
        <v>29477929.836234905</v>
      </c>
      <c r="J46" s="201">
        <f>H46</f>
        <v>3.0669999999999997</v>
      </c>
      <c r="K46" s="67">
        <f>F46*J46</f>
        <v>29477929.836234905</v>
      </c>
      <c r="L46" s="41"/>
      <c r="M46" s="228">
        <v>3.9196</v>
      </c>
      <c r="N46" s="41">
        <f>F46*M46</f>
        <v>37672544.436291605</v>
      </c>
      <c r="O46" s="115"/>
      <c r="P46" s="74"/>
      <c r="Q46" s="231">
        <v>2.72</v>
      </c>
      <c r="R46" s="53" t="s">
        <v>164</v>
      </c>
      <c r="S46" s="5"/>
    </row>
    <row r="47" spans="1:19" x14ac:dyDescent="0.35">
      <c r="B47" s="59"/>
      <c r="C47" s="68" t="s">
        <v>90</v>
      </c>
      <c r="G47" s="45">
        <v>797767.78611940483</v>
      </c>
      <c r="H47" s="43">
        <v>2.5669999999999997</v>
      </c>
      <c r="I47" s="69">
        <f>+H47*G47</f>
        <v>2047869.9069685119</v>
      </c>
      <c r="J47" s="202">
        <f>H47</f>
        <v>2.5669999999999997</v>
      </c>
      <c r="K47" s="69">
        <f>G47*J47</f>
        <v>2047869.9069685119</v>
      </c>
      <c r="M47" s="227">
        <f>M46-0.5</f>
        <v>3.4196</v>
      </c>
      <c r="N47" s="44">
        <f>G47*M47</f>
        <v>2728046.7214139169</v>
      </c>
      <c r="O47" s="115"/>
      <c r="P47" s="5"/>
      <c r="Q47" s="211">
        <f>Q46-Q45</f>
        <v>0.40024987710002513</v>
      </c>
      <c r="R47" s="5"/>
      <c r="S47" s="5"/>
    </row>
    <row r="48" spans="1:19" x14ac:dyDescent="0.35">
      <c r="C48" s="37" t="s">
        <v>153</v>
      </c>
      <c r="G48" s="49"/>
      <c r="I48" s="48">
        <f>SUM(I43:I47)</f>
        <v>53317110.203203417</v>
      </c>
      <c r="J48" s="48"/>
      <c r="K48" s="48">
        <f>SUM(K43:K47)</f>
        <v>53317110.203203417</v>
      </c>
      <c r="L48" s="67"/>
      <c r="N48" s="48">
        <f>SUM(N43:N47)</f>
        <v>65869042.057705529</v>
      </c>
      <c r="O48" s="115"/>
      <c r="P48" s="213">
        <f>J44/J43</f>
        <v>4.7563451776649739</v>
      </c>
      <c r="Q48" s="5"/>
      <c r="R48" s="5"/>
      <c r="S48" s="5"/>
    </row>
    <row r="49" spans="1:19" x14ac:dyDescent="0.35">
      <c r="B49" s="65"/>
      <c r="C49" s="37"/>
      <c r="G49" s="49"/>
      <c r="I49" s="48"/>
      <c r="J49" s="48"/>
      <c r="K49" s="48"/>
      <c r="L49" s="67"/>
      <c r="M49" s="42"/>
      <c r="N49" s="48"/>
      <c r="O49" s="115"/>
      <c r="P49" s="5"/>
      <c r="Q49" s="5"/>
      <c r="R49" s="5"/>
      <c r="S49" s="5"/>
    </row>
    <row r="50" spans="1:19" x14ac:dyDescent="0.35">
      <c r="B50" s="59"/>
      <c r="C50" s="37" t="s">
        <v>154</v>
      </c>
      <c r="G50" s="25" t="s">
        <v>88</v>
      </c>
      <c r="H50" s="47">
        <v>1</v>
      </c>
      <c r="I50" s="48">
        <f>IF(H50=0,0,I48/H50)</f>
        <v>53317110.203203417</v>
      </c>
      <c r="J50" s="197">
        <v>1</v>
      </c>
      <c r="K50" s="48">
        <f>K48*J50</f>
        <v>53317110.203203417</v>
      </c>
      <c r="L50" s="48"/>
      <c r="M50" s="70">
        <f>H50</f>
        <v>1</v>
      </c>
      <c r="N50" s="48">
        <f>IF(M50=0,0,N48/M50)</f>
        <v>65869042.057705529</v>
      </c>
      <c r="O50" s="5"/>
      <c r="P50" s="5"/>
      <c r="Q50" s="5"/>
      <c r="R50" s="5"/>
      <c r="S50" s="5"/>
    </row>
    <row r="51" spans="1:19" x14ac:dyDescent="0.35">
      <c r="L51" s="48"/>
      <c r="M51" s="70"/>
      <c r="N51" s="48"/>
      <c r="O51" s="5"/>
      <c r="P51" s="54">
        <f>SUM(N76,N268)</f>
        <v>107789323.89346214</v>
      </c>
      <c r="Q51" s="5" t="s">
        <v>173</v>
      </c>
      <c r="R51" s="5"/>
      <c r="S51" s="5"/>
    </row>
    <row r="52" spans="1:19" x14ac:dyDescent="0.35">
      <c r="B52" s="33" t="s">
        <v>115</v>
      </c>
      <c r="L52" s="48"/>
      <c r="M52" s="70"/>
      <c r="N52" s="48"/>
      <c r="O52" s="5"/>
      <c r="P52" s="54">
        <f>'Sch M-2.1-G'!I48</f>
        <v>29980701.451396167</v>
      </c>
      <c r="Q52" s="5" t="s">
        <v>174</v>
      </c>
      <c r="R52" s="5"/>
      <c r="S52" s="5"/>
    </row>
    <row r="53" spans="1:19" x14ac:dyDescent="0.35">
      <c r="B53" s="33"/>
      <c r="C53" s="58"/>
      <c r="L53" s="48"/>
      <c r="M53" s="42"/>
      <c r="N53" s="48"/>
      <c r="O53" s="5"/>
      <c r="P53" s="5"/>
      <c r="Q53" s="71"/>
      <c r="R53" s="5"/>
      <c r="S53" s="5"/>
    </row>
    <row r="54" spans="1:19" x14ac:dyDescent="0.35">
      <c r="A54" s="6" t="s">
        <v>77</v>
      </c>
      <c r="C54" s="17" t="s">
        <v>16</v>
      </c>
      <c r="E54" s="45">
        <v>0</v>
      </c>
      <c r="H54" s="42">
        <v>550</v>
      </c>
      <c r="I54" s="73">
        <f>E54*H54</f>
        <v>0</v>
      </c>
      <c r="J54" s="203">
        <f>H54</f>
        <v>550</v>
      </c>
      <c r="K54" s="73">
        <f>E54*J54</f>
        <v>0</v>
      </c>
      <c r="M54" s="42">
        <f>H54</f>
        <v>550</v>
      </c>
      <c r="N54" s="73">
        <f>E54*M54</f>
        <v>0</v>
      </c>
      <c r="O54" s="5"/>
      <c r="P54" s="5"/>
      <c r="Q54" s="72"/>
      <c r="R54" s="5"/>
      <c r="S54" s="5"/>
    </row>
    <row r="55" spans="1:19" x14ac:dyDescent="0.35">
      <c r="B55" s="33"/>
      <c r="C55" s="58" t="s">
        <v>94</v>
      </c>
      <c r="E55" s="45"/>
      <c r="H55" s="42"/>
      <c r="I55" s="73"/>
      <c r="J55" s="73"/>
      <c r="K55" s="73"/>
      <c r="M55" s="75"/>
      <c r="N55" s="41"/>
      <c r="O55" s="5"/>
      <c r="P55" s="54">
        <f>SUM(N78,N270)</f>
        <v>6481882.9376778184</v>
      </c>
      <c r="Q55" s="72" t="s">
        <v>183</v>
      </c>
      <c r="R55" s="5"/>
      <c r="S55" s="5"/>
    </row>
    <row r="56" spans="1:19" x14ac:dyDescent="0.35">
      <c r="B56" s="33"/>
      <c r="C56" s="55" t="s">
        <v>110</v>
      </c>
      <c r="E56" s="45">
        <v>0</v>
      </c>
      <c r="H56" s="42">
        <f>H43</f>
        <v>1.97</v>
      </c>
      <c r="I56" s="73">
        <f>E56*H56</f>
        <v>0</v>
      </c>
      <c r="J56" s="203">
        <f>H56</f>
        <v>1.97</v>
      </c>
      <c r="K56" s="73">
        <f>E56*J56</f>
        <v>0</v>
      </c>
      <c r="L56" s="73"/>
      <c r="M56" s="75">
        <f>M43</f>
        <v>2.3000000000000003</v>
      </c>
      <c r="N56" s="73">
        <f>E56*M56</f>
        <v>0</v>
      </c>
      <c r="O56" s="115"/>
      <c r="P56" s="5"/>
      <c r="Q56" s="74"/>
      <c r="R56" s="5"/>
      <c r="S56" s="5"/>
    </row>
    <row r="57" spans="1:19" x14ac:dyDescent="0.35">
      <c r="C57" s="55" t="s">
        <v>111</v>
      </c>
      <c r="E57" s="45">
        <v>0</v>
      </c>
      <c r="H57" s="42">
        <f>H44</f>
        <v>9.3699999999999992</v>
      </c>
      <c r="I57" s="73">
        <f>E57*H57</f>
        <v>0</v>
      </c>
      <c r="J57" s="203">
        <f>H57</f>
        <v>9.3699999999999992</v>
      </c>
      <c r="K57" s="73">
        <f>E57*J57</f>
        <v>0</v>
      </c>
      <c r="L57" s="73"/>
      <c r="M57" s="75">
        <f>M44</f>
        <v>11</v>
      </c>
      <c r="N57" s="73">
        <f>E57*M57</f>
        <v>0</v>
      </c>
      <c r="P57" s="5"/>
      <c r="Q57" s="74"/>
      <c r="R57" s="5"/>
      <c r="S57" s="5"/>
    </row>
    <row r="58" spans="1:19" x14ac:dyDescent="0.35">
      <c r="C58" s="61" t="s">
        <v>87</v>
      </c>
      <c r="E58" s="45"/>
      <c r="H58" s="42"/>
      <c r="I58" s="73"/>
      <c r="J58" s="73"/>
      <c r="K58" s="73"/>
      <c r="L58" s="73"/>
      <c r="M58" s="42"/>
      <c r="N58" s="73"/>
      <c r="O58" s="115"/>
      <c r="P58" s="5"/>
      <c r="Q58" s="74"/>
      <c r="R58" s="5"/>
      <c r="S58" s="5"/>
    </row>
    <row r="59" spans="1:19" x14ac:dyDescent="0.35">
      <c r="C59" s="17" t="s">
        <v>89</v>
      </c>
      <c r="E59" s="45"/>
      <c r="F59" s="45">
        <v>0</v>
      </c>
      <c r="H59" s="43">
        <f>H46</f>
        <v>3.0669999999999997</v>
      </c>
      <c r="I59" s="73">
        <f>F59*H59</f>
        <v>0</v>
      </c>
      <c r="J59" s="204">
        <f>H59</f>
        <v>3.0669999999999997</v>
      </c>
      <c r="K59" s="73">
        <f>F59*J59</f>
        <v>0</v>
      </c>
      <c r="L59" s="73"/>
      <c r="M59" s="43">
        <f>M46</f>
        <v>3.9196</v>
      </c>
      <c r="N59" s="73">
        <f>F59*M59</f>
        <v>0</v>
      </c>
      <c r="O59" s="115"/>
      <c r="P59" s="5"/>
      <c r="Q59" s="74"/>
      <c r="R59" s="5"/>
      <c r="S59" s="5"/>
    </row>
    <row r="60" spans="1:19" x14ac:dyDescent="0.35">
      <c r="C60" s="68" t="s">
        <v>90</v>
      </c>
      <c r="E60" s="45"/>
      <c r="G60" s="45">
        <v>0</v>
      </c>
      <c r="H60" s="43">
        <f>H47</f>
        <v>2.5669999999999997</v>
      </c>
      <c r="I60" s="76">
        <f>G60*H60</f>
        <v>0</v>
      </c>
      <c r="J60" s="204">
        <f>H60</f>
        <v>2.5669999999999997</v>
      </c>
      <c r="K60" s="76">
        <f>F60*J60</f>
        <v>0</v>
      </c>
      <c r="L60" s="73"/>
      <c r="M60" s="43">
        <f>M47</f>
        <v>3.4196</v>
      </c>
      <c r="N60" s="76">
        <f>G60*M60</f>
        <v>0</v>
      </c>
      <c r="O60" s="5"/>
      <c r="P60" s="5"/>
      <c r="Q60" s="74"/>
      <c r="R60" s="5"/>
      <c r="S60" s="5"/>
    </row>
    <row r="61" spans="1:19" x14ac:dyDescent="0.35">
      <c r="C61" s="37" t="s">
        <v>153</v>
      </c>
      <c r="E61" s="45"/>
      <c r="H61" s="42"/>
      <c r="I61" s="181">
        <f>SUM(I54:I60)</f>
        <v>0</v>
      </c>
      <c r="J61" s="181"/>
      <c r="K61" s="181">
        <f>SUM(K54:K60)</f>
        <v>0</v>
      </c>
      <c r="L61" s="73"/>
      <c r="M61" s="42"/>
      <c r="N61" s="181">
        <f>SUM(N54:N60)</f>
        <v>0</v>
      </c>
      <c r="O61" s="115"/>
      <c r="P61" s="5"/>
      <c r="Q61" s="74"/>
      <c r="R61" s="5"/>
      <c r="S61" s="5"/>
    </row>
    <row r="62" spans="1:19" x14ac:dyDescent="0.35">
      <c r="C62" s="55"/>
      <c r="E62" s="45"/>
      <c r="H62" s="42"/>
      <c r="I62" s="73"/>
      <c r="J62" s="73"/>
      <c r="K62" s="73"/>
      <c r="L62" s="73"/>
      <c r="M62" s="42"/>
      <c r="N62" s="41"/>
      <c r="O62" s="115"/>
      <c r="P62" s="5"/>
      <c r="Q62" s="74"/>
      <c r="R62" s="5"/>
      <c r="S62" s="5"/>
    </row>
    <row r="63" spans="1:19" x14ac:dyDescent="0.35">
      <c r="C63" s="37" t="s">
        <v>154</v>
      </c>
      <c r="G63" s="25" t="s">
        <v>88</v>
      </c>
      <c r="H63" s="47">
        <v>0</v>
      </c>
      <c r="I63" s="181">
        <f>IF(H63=0,0,I61/H63)</f>
        <v>0</v>
      </c>
      <c r="J63" s="47">
        <v>0</v>
      </c>
      <c r="K63" s="181">
        <f>K61*J63</f>
        <v>0</v>
      </c>
      <c r="L63" s="73"/>
      <c r="M63" s="70">
        <f>H63</f>
        <v>0</v>
      </c>
      <c r="N63" s="181">
        <f>IF(M63=0,0,N61/M63)</f>
        <v>0</v>
      </c>
      <c r="O63" s="5"/>
      <c r="P63" s="5"/>
      <c r="Q63" s="74"/>
      <c r="R63" s="5"/>
      <c r="S63" s="5"/>
    </row>
    <row r="64" spans="1:19" x14ac:dyDescent="0.35">
      <c r="C64" s="37"/>
      <c r="H64" s="47"/>
      <c r="I64" s="181"/>
      <c r="J64" s="47"/>
      <c r="K64" s="181"/>
      <c r="L64" s="73"/>
      <c r="M64" s="70"/>
      <c r="N64" s="181"/>
      <c r="O64" s="5"/>
      <c r="P64" s="5"/>
      <c r="Q64" s="74"/>
      <c r="R64" s="5"/>
      <c r="S64" s="5"/>
    </row>
    <row r="65" spans="1:19" x14ac:dyDescent="0.35">
      <c r="C65" s="17" t="s">
        <v>158</v>
      </c>
      <c r="H65" s="47"/>
      <c r="I65" s="73"/>
      <c r="J65" s="47"/>
      <c r="K65" s="207">
        <f>I71-K71</f>
        <v>6070338.7350938208</v>
      </c>
      <c r="L65" s="73"/>
      <c r="M65" s="70"/>
      <c r="N65" s="41"/>
      <c r="O65" s="5"/>
      <c r="P65" s="5"/>
      <c r="Q65" s="74"/>
      <c r="R65" s="5"/>
      <c r="S65" s="5"/>
    </row>
    <row r="66" spans="1:19" x14ac:dyDescent="0.35">
      <c r="H66" s="62"/>
      <c r="I66" s="73"/>
      <c r="J66" s="73"/>
      <c r="K66" s="73"/>
      <c r="L66" s="73"/>
      <c r="M66" s="5"/>
      <c r="N66" s="41"/>
      <c r="O66" s="5"/>
      <c r="P66" s="5"/>
      <c r="Q66" s="74"/>
      <c r="R66" s="5"/>
      <c r="S66" s="5"/>
    </row>
    <row r="67" spans="1:19" ht="16" thickBot="1" x14ac:dyDescent="0.4">
      <c r="C67" s="37" t="s">
        <v>163</v>
      </c>
      <c r="F67" s="49"/>
      <c r="I67" s="51">
        <f>I50+I63+I65</f>
        <v>53317110.203203417</v>
      </c>
      <c r="K67" s="51">
        <f>K50+K63+K65</f>
        <v>59387448.938297242</v>
      </c>
      <c r="M67" s="5"/>
      <c r="N67" s="51">
        <f>N50+N63+N65</f>
        <v>65869042.057705529</v>
      </c>
      <c r="Q67" s="5"/>
      <c r="R67" s="5"/>
      <c r="S67" s="5"/>
    </row>
    <row r="68" spans="1:19" ht="16" thickTop="1" x14ac:dyDescent="0.35">
      <c r="F68" s="49"/>
      <c r="M68" s="5"/>
      <c r="N68" s="5"/>
      <c r="Q68" s="5"/>
      <c r="R68" s="5"/>
      <c r="S68" s="5"/>
    </row>
    <row r="69" spans="1:19" x14ac:dyDescent="0.35">
      <c r="C69" s="46" t="s">
        <v>34</v>
      </c>
      <c r="H69" s="62"/>
      <c r="I69" s="41">
        <v>38743321.790414974</v>
      </c>
      <c r="J69" s="41"/>
      <c r="K69" s="41">
        <v>38743321.790414974</v>
      </c>
      <c r="M69" s="5"/>
      <c r="N69" s="41">
        <f>I69</f>
        <v>38743321.790414974</v>
      </c>
      <c r="O69" s="5"/>
      <c r="P69" s="5"/>
      <c r="Q69" s="5"/>
      <c r="R69" s="5"/>
      <c r="S69" s="5"/>
    </row>
    <row r="70" spans="1:19" x14ac:dyDescent="0.35">
      <c r="C70" s="46" t="s">
        <v>35</v>
      </c>
      <c r="H70" s="62"/>
      <c r="I70" s="41">
        <v>133387.08834277876</v>
      </c>
      <c r="J70" s="41"/>
      <c r="K70" s="41">
        <v>133387.08834277876</v>
      </c>
      <c r="L70" s="73"/>
      <c r="M70" s="5"/>
      <c r="N70" s="41">
        <f>I70</f>
        <v>133387.08834277876</v>
      </c>
      <c r="O70" s="5"/>
      <c r="P70" s="5"/>
      <c r="Q70" s="5"/>
      <c r="R70" s="5"/>
      <c r="S70" s="5"/>
    </row>
    <row r="71" spans="1:19" x14ac:dyDescent="0.35">
      <c r="C71" s="46" t="s">
        <v>31</v>
      </c>
      <c r="I71" s="41">
        <v>8923226.7588320579</v>
      </c>
      <c r="J71" s="41"/>
      <c r="K71" s="41">
        <v>2852888.0237382376</v>
      </c>
      <c r="L71" s="77"/>
      <c r="M71" s="5"/>
      <c r="N71" s="41">
        <f>K71</f>
        <v>2852888.0237382376</v>
      </c>
      <c r="O71" s="5"/>
      <c r="P71" s="5"/>
      <c r="Q71" s="5"/>
      <c r="R71" s="5"/>
      <c r="S71" s="5"/>
    </row>
    <row r="72" spans="1:19" x14ac:dyDescent="0.35">
      <c r="C72" s="46"/>
      <c r="I72" s="41"/>
      <c r="J72" s="41"/>
      <c r="K72" s="41"/>
      <c r="L72" s="77"/>
      <c r="M72" s="5"/>
      <c r="N72" s="41"/>
      <c r="O72" s="5"/>
      <c r="P72" s="5"/>
      <c r="Q72" s="5"/>
      <c r="R72" s="5"/>
      <c r="S72" s="5"/>
    </row>
    <row r="73" spans="1:19" x14ac:dyDescent="0.35">
      <c r="B73" s="36" t="s">
        <v>71</v>
      </c>
      <c r="I73" s="52"/>
      <c r="J73" s="52"/>
      <c r="K73" s="52"/>
      <c r="L73" s="77"/>
      <c r="M73" s="5"/>
      <c r="N73" s="52"/>
      <c r="O73" s="5"/>
      <c r="P73" s="5"/>
      <c r="Q73" s="5"/>
      <c r="R73" s="5"/>
      <c r="S73" s="5"/>
    </row>
    <row r="74" spans="1:19" x14ac:dyDescent="0.35">
      <c r="C74" s="17" t="s">
        <v>61</v>
      </c>
      <c r="E74" s="45">
        <v>0</v>
      </c>
      <c r="H74" s="177">
        <v>75</v>
      </c>
      <c r="I74" s="78">
        <f>E74*H74</f>
        <v>0</v>
      </c>
      <c r="J74" s="177">
        <v>75</v>
      </c>
      <c r="K74" s="78">
        <f>E74*J74</f>
        <v>0</v>
      </c>
      <c r="L74" s="77"/>
      <c r="M74" s="177">
        <f>H74</f>
        <v>75</v>
      </c>
      <c r="N74" s="79">
        <f>E71*M74</f>
        <v>0</v>
      </c>
      <c r="O74" s="5"/>
      <c r="P74" s="5"/>
      <c r="Q74" s="5"/>
      <c r="R74" s="5"/>
      <c r="S74" s="5"/>
    </row>
    <row r="75" spans="1:19" x14ac:dyDescent="0.35">
      <c r="L75" s="52"/>
      <c r="M75" s="5"/>
      <c r="N75" s="5"/>
      <c r="O75" s="5"/>
      <c r="P75" s="54"/>
      <c r="Q75" s="5"/>
      <c r="R75" s="5"/>
      <c r="S75" s="5"/>
    </row>
    <row r="76" spans="1:19" ht="16" thickBot="1" x14ac:dyDescent="0.4">
      <c r="A76" s="6" t="s">
        <v>81</v>
      </c>
      <c r="B76" s="37" t="s">
        <v>152</v>
      </c>
      <c r="C76" s="37"/>
      <c r="I76" s="51">
        <f>SUM(I67:I74)</f>
        <v>101117045.84079324</v>
      </c>
      <c r="J76" s="52"/>
      <c r="K76" s="51">
        <f>SUM(K67:K74)</f>
        <v>101117045.84079324</v>
      </c>
      <c r="L76" s="78"/>
      <c r="M76" s="5"/>
      <c r="N76" s="51">
        <f>SUM(N67:N74)</f>
        <v>107598638.96020153</v>
      </c>
      <c r="O76" s="115"/>
      <c r="Q76" s="5"/>
      <c r="R76" s="5"/>
      <c r="S76" s="5"/>
    </row>
    <row r="77" spans="1:19" ht="16" thickTop="1" x14ac:dyDescent="0.35">
      <c r="B77" s="37"/>
      <c r="I77" s="52"/>
      <c r="J77" s="52"/>
      <c r="K77" s="52"/>
      <c r="M77" s="5"/>
      <c r="N77" s="5"/>
      <c r="O77" s="5"/>
      <c r="P77" s="5"/>
      <c r="Q77" s="5"/>
      <c r="R77" s="5"/>
      <c r="S77" s="5"/>
    </row>
    <row r="78" spans="1:19" x14ac:dyDescent="0.35">
      <c r="C78" s="55" t="s">
        <v>198</v>
      </c>
      <c r="I78" s="52"/>
      <c r="J78" s="52"/>
      <c r="K78" s="52"/>
      <c r="L78" s="52"/>
      <c r="M78" s="5"/>
      <c r="N78" s="54">
        <f>N76-I76</f>
        <v>6481593.1194082946</v>
      </c>
      <c r="O78" s="226">
        <v>6481309.9885938549</v>
      </c>
      <c r="P78" s="54" t="s">
        <v>200</v>
      </c>
      <c r="Q78" s="5"/>
      <c r="R78" s="5"/>
      <c r="S78" s="5"/>
    </row>
    <row r="79" spans="1:19" x14ac:dyDescent="0.35">
      <c r="B79" s="37"/>
      <c r="I79" s="52"/>
      <c r="J79" s="52"/>
      <c r="K79" s="52"/>
      <c r="L79" s="52"/>
      <c r="M79" s="5"/>
      <c r="N79" s="57">
        <f>N78/I76</f>
        <v>6.4099905861702416E-2</v>
      </c>
      <c r="O79" s="243">
        <f>N78+N270-O78</f>
        <v>572.94908396340907</v>
      </c>
      <c r="P79" s="54"/>
      <c r="Q79" s="5"/>
      <c r="R79" s="5"/>
      <c r="S79" s="5"/>
    </row>
    <row r="80" spans="1:19" outlineLevel="1" x14ac:dyDescent="0.35">
      <c r="B80" s="37"/>
      <c r="M80" s="5"/>
      <c r="N80" s="121"/>
      <c r="O80" s="5"/>
      <c r="P80" s="54"/>
      <c r="Q80" s="5"/>
      <c r="R80" s="5"/>
      <c r="S80" s="5"/>
    </row>
    <row r="81" spans="1:19" outlineLevel="1" x14ac:dyDescent="0.35">
      <c r="B81" s="36" t="s">
        <v>17</v>
      </c>
      <c r="M81" s="5"/>
      <c r="N81" s="121"/>
      <c r="O81" s="5"/>
      <c r="P81" s="54"/>
      <c r="Q81" s="5"/>
      <c r="R81" s="5"/>
      <c r="S81" s="5"/>
    </row>
    <row r="82" spans="1:19" outlineLevel="1" x14ac:dyDescent="0.35">
      <c r="B82" s="37"/>
      <c r="M82" s="5"/>
      <c r="N82" s="121"/>
      <c r="O82" s="5"/>
      <c r="P82" s="54"/>
      <c r="Q82" s="5"/>
      <c r="R82" s="5"/>
      <c r="S82" s="5"/>
    </row>
    <row r="83" spans="1:19" outlineLevel="1" x14ac:dyDescent="0.35">
      <c r="B83" s="37" t="s">
        <v>116</v>
      </c>
      <c r="M83" s="5"/>
      <c r="N83" s="121"/>
      <c r="O83" s="5"/>
      <c r="P83" s="5"/>
      <c r="Q83" s="5"/>
      <c r="R83" s="5"/>
      <c r="S83" s="5"/>
    </row>
    <row r="84" spans="1:19" outlineLevel="1" x14ac:dyDescent="0.35">
      <c r="B84" s="36"/>
      <c r="C84" s="58" t="s">
        <v>94</v>
      </c>
      <c r="E84" s="45"/>
      <c r="M84" s="54"/>
      <c r="N84" s="54"/>
      <c r="O84" s="5"/>
      <c r="P84" s="5"/>
      <c r="Q84" s="5"/>
      <c r="R84" s="5"/>
      <c r="S84" s="5"/>
    </row>
    <row r="85" spans="1:19" outlineLevel="1" x14ac:dyDescent="0.35">
      <c r="A85" s="6" t="s">
        <v>3</v>
      </c>
      <c r="B85" s="37"/>
      <c r="C85" s="55" t="s">
        <v>110</v>
      </c>
      <c r="E85" s="45">
        <v>41042</v>
      </c>
      <c r="H85" s="42">
        <v>5.42</v>
      </c>
      <c r="I85" s="41">
        <f>+E85*H85</f>
        <v>222447.63999999998</v>
      </c>
      <c r="J85" s="63">
        <f>H85</f>
        <v>5.42</v>
      </c>
      <c r="K85" s="41">
        <f>E85*J85</f>
        <v>222447.63999999998</v>
      </c>
      <c r="M85" s="42">
        <f>H85</f>
        <v>5.42</v>
      </c>
      <c r="N85" s="41">
        <f>E85*M85</f>
        <v>222447.63999999998</v>
      </c>
      <c r="O85" s="115"/>
      <c r="P85" s="74">
        <f>M85*365.25/12</f>
        <v>164.97125</v>
      </c>
      <c r="Q85" s="74">
        <f>E85*M85</f>
        <v>222447.63999999998</v>
      </c>
      <c r="R85" s="5"/>
      <c r="S85" s="5"/>
    </row>
    <row r="86" spans="1:19" outlineLevel="1" x14ac:dyDescent="0.35">
      <c r="B86" s="37"/>
      <c r="C86" s="55" t="s">
        <v>111</v>
      </c>
      <c r="E86" s="45">
        <v>31828</v>
      </c>
      <c r="H86" s="42">
        <v>24.64</v>
      </c>
      <c r="I86" s="41">
        <f>+E86*H86</f>
        <v>784241.92</v>
      </c>
      <c r="J86" s="63">
        <f>H86</f>
        <v>24.64</v>
      </c>
      <c r="K86" s="41">
        <f>E86*J86</f>
        <v>784241.92</v>
      </c>
      <c r="M86" s="42">
        <f>H86</f>
        <v>24.64</v>
      </c>
      <c r="N86" s="41">
        <f>E86*M86</f>
        <v>784241.92</v>
      </c>
      <c r="O86" s="115"/>
      <c r="P86" s="74">
        <f>M86*365.25/12</f>
        <v>749.98</v>
      </c>
      <c r="Q86" s="74">
        <f>E86*M86</f>
        <v>784241.92</v>
      </c>
      <c r="R86" s="53"/>
      <c r="S86" s="5"/>
    </row>
    <row r="87" spans="1:19" outlineLevel="1" x14ac:dyDescent="0.35">
      <c r="B87" s="59"/>
      <c r="C87" s="61" t="s">
        <v>87</v>
      </c>
      <c r="H87" s="62"/>
      <c r="L87" s="41"/>
      <c r="M87" s="6"/>
      <c r="N87" s="81"/>
      <c r="O87" s="74"/>
      <c r="P87" s="5"/>
      <c r="Q87" s="72">
        <f>SUM(Q85:Q86)</f>
        <v>1006689.56</v>
      </c>
      <c r="R87" s="72">
        <f>(Q87/SUM(E85:E86))*365.25/12</f>
        <v>420.49009856593938</v>
      </c>
      <c r="S87" s="5"/>
    </row>
    <row r="88" spans="1:19" outlineLevel="1" x14ac:dyDescent="0.35">
      <c r="B88" s="59"/>
      <c r="C88" s="17" t="s">
        <v>89</v>
      </c>
      <c r="F88" s="180">
        <v>705105.31178388163</v>
      </c>
      <c r="H88" s="43">
        <v>2.1929000000000003</v>
      </c>
      <c r="I88" s="67">
        <f>+F88*H88</f>
        <v>1546225.4382108743</v>
      </c>
      <c r="J88" s="201">
        <f>H88</f>
        <v>2.1929000000000003</v>
      </c>
      <c r="K88" s="67">
        <f>F88*J88</f>
        <v>1546225.4382108743</v>
      </c>
      <c r="L88" s="41"/>
      <c r="M88" s="228">
        <v>2.7023000000000001</v>
      </c>
      <c r="N88" s="41">
        <f>F88*M88</f>
        <v>1905406.0840335835</v>
      </c>
      <c r="O88" s="115"/>
      <c r="P88" s="5"/>
      <c r="Q88" s="53"/>
      <c r="R88" s="232">
        <v>326.31</v>
      </c>
      <c r="S88" s="5" t="s">
        <v>164</v>
      </c>
    </row>
    <row r="89" spans="1:19" outlineLevel="1" x14ac:dyDescent="0.35">
      <c r="B89" s="59"/>
      <c r="C89" s="68" t="s">
        <v>90</v>
      </c>
      <c r="D89" s="38"/>
      <c r="F89" s="86"/>
      <c r="G89" s="77">
        <v>289473.05824487162</v>
      </c>
      <c r="H89" s="43">
        <v>1.6928999999999998</v>
      </c>
      <c r="I89" s="69">
        <f>+H89*G89</f>
        <v>490048.94030274311</v>
      </c>
      <c r="J89" s="201">
        <f>H89</f>
        <v>1.6928999999999998</v>
      </c>
      <c r="K89" s="69">
        <f>G89*J89</f>
        <v>490048.94030274311</v>
      </c>
      <c r="M89" s="227">
        <f>M88-0.5</f>
        <v>2.2023000000000001</v>
      </c>
      <c r="N89" s="44">
        <f>G89*M89</f>
        <v>637506.51617268077</v>
      </c>
      <c r="O89" s="115"/>
      <c r="P89" s="5"/>
      <c r="Q89" s="56"/>
      <c r="R89" s="5"/>
      <c r="S89" s="5"/>
    </row>
    <row r="90" spans="1:19" outlineLevel="1" x14ac:dyDescent="0.35">
      <c r="C90" s="37" t="s">
        <v>153</v>
      </c>
      <c r="F90" s="86"/>
      <c r="G90" s="49"/>
      <c r="I90" s="82">
        <f>SUM(I85:I89)</f>
        <v>3042963.9385136175</v>
      </c>
      <c r="J90" s="82"/>
      <c r="K90" s="82">
        <f>SUM(K85:K89)</f>
        <v>3042963.9385136175</v>
      </c>
      <c r="L90" s="67"/>
      <c r="M90" s="5"/>
      <c r="N90" s="82">
        <f>SUM(N84:N89)</f>
        <v>3549602.1602062648</v>
      </c>
      <c r="O90" s="5"/>
      <c r="P90" s="5"/>
      <c r="Q90" s="5"/>
      <c r="R90" s="5"/>
      <c r="S90" s="5"/>
    </row>
    <row r="91" spans="1:19" outlineLevel="1" x14ac:dyDescent="0.35">
      <c r="C91" s="37"/>
      <c r="F91" s="86"/>
      <c r="G91" s="49"/>
      <c r="I91" s="82"/>
      <c r="J91" s="82"/>
      <c r="K91" s="82"/>
      <c r="L91" s="67"/>
      <c r="M91" s="5"/>
      <c r="N91" s="82"/>
      <c r="O91" s="5"/>
      <c r="P91" s="5"/>
      <c r="Q91" s="5"/>
      <c r="R91" s="5"/>
      <c r="S91" s="5"/>
    </row>
    <row r="92" spans="1:19" outlineLevel="1" x14ac:dyDescent="0.35">
      <c r="C92" s="37" t="s">
        <v>154</v>
      </c>
      <c r="F92" s="86"/>
      <c r="G92" s="49" t="s">
        <v>88</v>
      </c>
      <c r="H92" s="47">
        <v>1</v>
      </c>
      <c r="I92" s="82">
        <f>I90/H92</f>
        <v>3042963.9385136175</v>
      </c>
      <c r="J92" s="47">
        <v>1</v>
      </c>
      <c r="K92" s="82">
        <f>K90*J92</f>
        <v>3042963.9385136175</v>
      </c>
      <c r="L92" s="82"/>
      <c r="M92" s="70">
        <f>H92</f>
        <v>1</v>
      </c>
      <c r="N92" s="82">
        <f>N90/M92</f>
        <v>3549602.1602062648</v>
      </c>
      <c r="O92" s="5"/>
      <c r="P92" s="5"/>
      <c r="Q92" s="5"/>
      <c r="R92" s="5"/>
      <c r="S92" s="5"/>
    </row>
    <row r="93" spans="1:19" outlineLevel="1" x14ac:dyDescent="0.35">
      <c r="F93" s="86"/>
      <c r="G93" s="49"/>
      <c r="I93" s="83"/>
      <c r="J93" s="83"/>
      <c r="K93" s="83"/>
      <c r="L93" s="82"/>
      <c r="M93" s="5"/>
      <c r="N93" s="82"/>
      <c r="O93" s="5"/>
      <c r="P93" s="5"/>
      <c r="Q93" s="5"/>
      <c r="R93" s="5"/>
      <c r="S93" s="5"/>
    </row>
    <row r="94" spans="1:19" outlineLevel="1" x14ac:dyDescent="0.35">
      <c r="B94" s="33" t="s">
        <v>117</v>
      </c>
      <c r="F94" s="86"/>
      <c r="G94" s="49"/>
      <c r="I94" s="85"/>
      <c r="J94" s="85"/>
      <c r="K94" s="85"/>
      <c r="L94" s="82"/>
      <c r="M94" s="5"/>
      <c r="N94" s="82"/>
      <c r="O94" s="5"/>
      <c r="P94" s="5"/>
      <c r="Q94" s="5"/>
      <c r="R94" s="5"/>
      <c r="S94" s="5"/>
    </row>
    <row r="95" spans="1:19" outlineLevel="1" x14ac:dyDescent="0.35">
      <c r="C95" s="17" t="s">
        <v>16</v>
      </c>
      <c r="E95" s="45">
        <v>96</v>
      </c>
      <c r="F95" s="86"/>
      <c r="H95" s="42">
        <v>550</v>
      </c>
      <c r="I95" s="79">
        <f>E95*H95</f>
        <v>52800</v>
      </c>
      <c r="J95" s="200">
        <f>H95</f>
        <v>550</v>
      </c>
      <c r="K95" s="79">
        <f>E95*H95</f>
        <v>52800</v>
      </c>
      <c r="L95" s="83"/>
      <c r="M95" s="42">
        <f>H95</f>
        <v>550</v>
      </c>
      <c r="N95" s="79">
        <f>E95*M95</f>
        <v>52800</v>
      </c>
      <c r="O95" s="5"/>
      <c r="P95" s="5"/>
      <c r="Q95" s="5"/>
      <c r="R95" s="5"/>
      <c r="S95" s="5"/>
    </row>
    <row r="96" spans="1:19" outlineLevel="1" x14ac:dyDescent="0.35">
      <c r="A96" s="84" t="s">
        <v>75</v>
      </c>
      <c r="C96" s="58" t="s">
        <v>94</v>
      </c>
      <c r="E96" s="45"/>
      <c r="F96" s="86"/>
      <c r="H96" s="42"/>
      <c r="I96" s="79"/>
      <c r="J96" s="79"/>
      <c r="K96" s="79"/>
      <c r="L96" s="85"/>
      <c r="M96" s="6"/>
      <c r="N96" s="5"/>
      <c r="O96" s="5"/>
      <c r="P96" s="5"/>
      <c r="Q96" s="5"/>
      <c r="R96" s="5"/>
      <c r="S96" s="5"/>
    </row>
    <row r="97" spans="2:19" outlineLevel="1" x14ac:dyDescent="0.35">
      <c r="B97" s="33"/>
      <c r="C97" s="55" t="s">
        <v>110</v>
      </c>
      <c r="E97" s="45">
        <v>0</v>
      </c>
      <c r="F97" s="86"/>
      <c r="H97" s="42">
        <f>H85</f>
        <v>5.42</v>
      </c>
      <c r="I97" s="41">
        <f>+E97*H97</f>
        <v>0</v>
      </c>
      <c r="J97" s="63">
        <f>H97</f>
        <v>5.42</v>
      </c>
      <c r="K97" s="41">
        <f>E97*H97</f>
        <v>0</v>
      </c>
      <c r="L97" s="79"/>
      <c r="M97" s="42">
        <f>M85</f>
        <v>5.42</v>
      </c>
      <c r="N97" s="41">
        <f>+E97*M97</f>
        <v>0</v>
      </c>
      <c r="O97" s="5"/>
      <c r="P97" s="5"/>
      <c r="Q97" s="5"/>
      <c r="R97" s="5"/>
      <c r="S97" s="5"/>
    </row>
    <row r="98" spans="2:19" outlineLevel="1" x14ac:dyDescent="0.35">
      <c r="C98" s="55" t="s">
        <v>111</v>
      </c>
      <c r="E98" s="45">
        <v>2920</v>
      </c>
      <c r="F98" s="86"/>
      <c r="H98" s="42">
        <f>H86</f>
        <v>24.64</v>
      </c>
      <c r="I98" s="41">
        <f>+E98*H98</f>
        <v>71948.800000000003</v>
      </c>
      <c r="J98" s="63">
        <f>H98</f>
        <v>24.64</v>
      </c>
      <c r="K98" s="41">
        <f>E98*H98</f>
        <v>71948.800000000003</v>
      </c>
      <c r="L98" s="79"/>
      <c r="M98" s="42">
        <f>M86</f>
        <v>24.64</v>
      </c>
      <c r="N98" s="41">
        <f>+E98*M98</f>
        <v>71948.800000000003</v>
      </c>
      <c r="O98" s="5"/>
      <c r="P98" s="5"/>
      <c r="Q98" s="5"/>
      <c r="R98" s="5"/>
      <c r="S98" s="5"/>
    </row>
    <row r="99" spans="2:19" outlineLevel="1" x14ac:dyDescent="0.35">
      <c r="C99" s="61" t="s">
        <v>87</v>
      </c>
      <c r="E99" s="45"/>
      <c r="F99" s="86"/>
      <c r="H99" s="42"/>
      <c r="L99" s="79"/>
      <c r="M99" s="42"/>
      <c r="N99" s="79"/>
      <c r="O99" s="5"/>
      <c r="P99" s="5"/>
      <c r="Q99" s="5"/>
      <c r="R99" s="5"/>
      <c r="S99" s="5"/>
    </row>
    <row r="100" spans="2:19" outlineLevel="1" x14ac:dyDescent="0.35">
      <c r="C100" s="17" t="s">
        <v>89</v>
      </c>
      <c r="E100" s="45"/>
      <c r="F100" s="180">
        <v>138282.58045341741</v>
      </c>
      <c r="H100" s="43">
        <f>H88</f>
        <v>2.1929000000000003</v>
      </c>
      <c r="I100" s="67">
        <f>+F100*H100</f>
        <v>303239.87067629909</v>
      </c>
      <c r="J100" s="201">
        <f>H100</f>
        <v>2.1929000000000003</v>
      </c>
      <c r="K100" s="67">
        <f>F100*H100</f>
        <v>303239.87067629909</v>
      </c>
      <c r="L100" s="79"/>
      <c r="M100" s="43">
        <f>M88</f>
        <v>2.7023000000000001</v>
      </c>
      <c r="N100" s="79">
        <f>F100*M100</f>
        <v>373681.01715926989</v>
      </c>
      <c r="O100" s="5"/>
      <c r="P100" s="5"/>
      <c r="Q100" s="5"/>
      <c r="R100" s="5"/>
      <c r="S100" s="5"/>
    </row>
    <row r="101" spans="2:19" outlineLevel="1" x14ac:dyDescent="0.35">
      <c r="C101" s="68" t="s">
        <v>90</v>
      </c>
      <c r="E101" s="45"/>
      <c r="F101" s="86"/>
      <c r="G101" s="86">
        <v>260312.68127914614</v>
      </c>
      <c r="H101" s="43">
        <f>H89</f>
        <v>1.6928999999999998</v>
      </c>
      <c r="I101" s="69">
        <f>+H101*G101</f>
        <v>440683.33813746646</v>
      </c>
      <c r="J101" s="201">
        <f>H101</f>
        <v>1.6928999999999998</v>
      </c>
      <c r="K101" s="69">
        <f>G101*H101</f>
        <v>440683.33813746646</v>
      </c>
      <c r="L101" s="79"/>
      <c r="M101" s="43">
        <f>M89</f>
        <v>2.2023000000000001</v>
      </c>
      <c r="N101" s="69">
        <f>G101*M101</f>
        <v>573286.61798106355</v>
      </c>
      <c r="O101" s="5"/>
      <c r="P101" s="5"/>
      <c r="Q101" s="5"/>
      <c r="R101" s="5"/>
      <c r="S101" s="5"/>
    </row>
    <row r="102" spans="2:19" outlineLevel="1" x14ac:dyDescent="0.35">
      <c r="C102" s="37" t="s">
        <v>153</v>
      </c>
      <c r="H102" s="87"/>
      <c r="I102" s="82">
        <f>SUM(I95:I101)</f>
        <v>868672.0088137656</v>
      </c>
      <c r="J102" s="82"/>
      <c r="K102" s="82">
        <f>SUM(K95:K101)</f>
        <v>868672.0088137656</v>
      </c>
      <c r="L102" s="79"/>
      <c r="M102" s="42"/>
      <c r="N102" s="82">
        <f>SUM(N95:N101)</f>
        <v>1071716.4351403334</v>
      </c>
      <c r="O102" s="5"/>
      <c r="P102" s="5"/>
      <c r="Q102" s="5"/>
      <c r="R102" s="5"/>
      <c r="S102" s="5"/>
    </row>
    <row r="103" spans="2:19" outlineLevel="1" x14ac:dyDescent="0.35">
      <c r="C103" s="37"/>
      <c r="H103" s="87"/>
      <c r="I103" s="88"/>
      <c r="J103" s="88"/>
      <c r="K103" s="88"/>
      <c r="L103" s="79"/>
      <c r="M103" s="43"/>
      <c r="N103" s="79"/>
      <c r="O103" s="5"/>
      <c r="P103" s="5"/>
      <c r="Q103" s="5"/>
      <c r="R103" s="5"/>
      <c r="S103" s="5"/>
    </row>
    <row r="104" spans="2:19" outlineLevel="1" x14ac:dyDescent="0.35">
      <c r="C104" s="37" t="s">
        <v>154</v>
      </c>
      <c r="G104" s="25" t="s">
        <v>88</v>
      </c>
      <c r="H104" s="47">
        <v>1</v>
      </c>
      <c r="I104" s="48">
        <f>I102/H104</f>
        <v>868672.0088137656</v>
      </c>
      <c r="J104" s="47">
        <v>1</v>
      </c>
      <c r="K104" s="48">
        <f>J104*K102</f>
        <v>868672.0088137656</v>
      </c>
      <c r="L104" s="88"/>
      <c r="M104" s="70">
        <f>H104</f>
        <v>1</v>
      </c>
      <c r="N104" s="48">
        <f>N102/M104</f>
        <v>1071716.4351403334</v>
      </c>
      <c r="O104" s="5"/>
      <c r="P104" s="5"/>
      <c r="Q104" s="5"/>
      <c r="R104" s="5"/>
      <c r="S104" s="5"/>
    </row>
    <row r="105" spans="2:19" outlineLevel="1" x14ac:dyDescent="0.35">
      <c r="C105" s="37"/>
      <c r="H105" s="47"/>
      <c r="I105" s="88"/>
      <c r="J105" s="47"/>
      <c r="K105" s="88"/>
      <c r="L105" s="88"/>
      <c r="M105" s="70"/>
      <c r="N105" s="88"/>
      <c r="O105" s="5"/>
      <c r="P105" s="5"/>
      <c r="Q105" s="5"/>
      <c r="R105" s="5"/>
      <c r="S105" s="5"/>
    </row>
    <row r="106" spans="2:19" outlineLevel="1" x14ac:dyDescent="0.35">
      <c r="C106" s="17" t="s">
        <v>158</v>
      </c>
      <c r="H106" s="47"/>
      <c r="I106" s="88"/>
      <c r="J106" s="47"/>
      <c r="K106" s="41">
        <f>I112-K112</f>
        <v>709688.37983489479</v>
      </c>
      <c r="L106" s="88"/>
      <c r="M106" s="70"/>
      <c r="N106" s="41"/>
      <c r="O106" s="5"/>
      <c r="P106" s="5"/>
      <c r="Q106" s="5"/>
      <c r="R106" s="5"/>
      <c r="S106" s="5"/>
    </row>
    <row r="107" spans="2:19" outlineLevel="1" x14ac:dyDescent="0.35">
      <c r="H107" s="87"/>
      <c r="I107" s="89"/>
      <c r="J107" s="89"/>
      <c r="K107" s="89"/>
      <c r="L107" s="88"/>
      <c r="M107" s="5"/>
      <c r="N107" s="83"/>
      <c r="O107" s="5"/>
      <c r="P107" s="5"/>
      <c r="Q107" s="5"/>
      <c r="R107" s="5"/>
      <c r="S107" s="5"/>
    </row>
    <row r="108" spans="2:19" ht="16" outlineLevel="1" thickBot="1" x14ac:dyDescent="0.4">
      <c r="C108" s="37" t="s">
        <v>163</v>
      </c>
      <c r="F108" s="49"/>
      <c r="I108" s="51">
        <f>I92+I104+I106</f>
        <v>3911635.9473273829</v>
      </c>
      <c r="K108" s="51">
        <f>K92+K104+K106</f>
        <v>4621324.3271622779</v>
      </c>
      <c r="M108" s="5"/>
      <c r="N108" s="51">
        <f>N92+N104+N106</f>
        <v>4621318.595346598</v>
      </c>
      <c r="Q108" s="5"/>
      <c r="R108" s="5"/>
      <c r="S108" s="5"/>
    </row>
    <row r="109" spans="2:19" ht="16" outlineLevel="1" thickTop="1" x14ac:dyDescent="0.35">
      <c r="F109" s="49"/>
      <c r="M109" s="5"/>
      <c r="N109" s="5"/>
      <c r="Q109" s="5"/>
      <c r="R109" s="5"/>
      <c r="S109" s="5"/>
    </row>
    <row r="110" spans="2:19" outlineLevel="1" x14ac:dyDescent="0.35">
      <c r="C110" s="46" t="s">
        <v>34</v>
      </c>
      <c r="H110" s="87"/>
      <c r="I110" s="41">
        <v>3507033.3299594289</v>
      </c>
      <c r="J110" s="41"/>
      <c r="K110" s="41">
        <v>3507033.3299594289</v>
      </c>
      <c r="L110" s="88"/>
      <c r="M110" s="5"/>
      <c r="N110" s="79">
        <f>I110</f>
        <v>3507033.3299594289</v>
      </c>
      <c r="O110" s="5"/>
      <c r="P110" s="5"/>
      <c r="Q110" s="5"/>
      <c r="R110" s="5"/>
      <c r="S110" s="5"/>
    </row>
    <row r="111" spans="2:19" outlineLevel="1" x14ac:dyDescent="0.35">
      <c r="C111" s="46" t="s">
        <v>35</v>
      </c>
      <c r="H111" s="87"/>
      <c r="I111" s="41">
        <v>0</v>
      </c>
      <c r="J111" s="41"/>
      <c r="K111" s="41">
        <v>0</v>
      </c>
      <c r="L111" s="89"/>
      <c r="M111" s="5"/>
      <c r="N111" s="79">
        <f>I111</f>
        <v>0</v>
      </c>
      <c r="O111" s="5"/>
      <c r="P111" s="5"/>
      <c r="Q111" s="5"/>
      <c r="R111" s="5"/>
      <c r="S111" s="5"/>
    </row>
    <row r="112" spans="2:19" outlineLevel="1" x14ac:dyDescent="0.35">
      <c r="C112" s="46" t="s">
        <v>31</v>
      </c>
      <c r="I112" s="41">
        <v>1042215.7855950447</v>
      </c>
      <c r="J112" s="41"/>
      <c r="K112" s="41">
        <v>332527.40576014994</v>
      </c>
      <c r="L112" s="90"/>
      <c r="M112" s="5"/>
      <c r="N112" s="54">
        <f>K112</f>
        <v>332527.40576014994</v>
      </c>
      <c r="O112" s="5"/>
      <c r="P112" s="5"/>
      <c r="Q112" s="5"/>
      <c r="R112" s="5"/>
      <c r="S112" s="5"/>
    </row>
    <row r="113" spans="1:19" outlineLevel="1" x14ac:dyDescent="0.35">
      <c r="C113" s="46"/>
      <c r="L113" s="77"/>
      <c r="M113" s="5"/>
      <c r="N113" s="79"/>
      <c r="O113" s="5"/>
      <c r="P113" s="5"/>
      <c r="Q113" s="5"/>
      <c r="R113" s="5"/>
      <c r="S113" s="5"/>
    </row>
    <row r="114" spans="1:19" outlineLevel="1" x14ac:dyDescent="0.35">
      <c r="B114" s="33" t="s">
        <v>71</v>
      </c>
      <c r="C114" s="85"/>
      <c r="I114" s="52"/>
      <c r="J114" s="52"/>
      <c r="K114" s="52"/>
      <c r="M114" s="5"/>
      <c r="N114" s="79"/>
      <c r="O114" s="5"/>
      <c r="P114" s="5"/>
      <c r="Q114" s="5"/>
      <c r="R114" s="5"/>
      <c r="S114" s="5"/>
    </row>
    <row r="115" spans="1:19" outlineLevel="1" x14ac:dyDescent="0.35">
      <c r="C115" s="17" t="s">
        <v>61</v>
      </c>
      <c r="E115" s="45">
        <v>108</v>
      </c>
      <c r="H115" s="177">
        <v>75</v>
      </c>
      <c r="I115" s="78">
        <f>E115*H115</f>
        <v>8100</v>
      </c>
      <c r="J115" s="90">
        <f>H115</f>
        <v>75</v>
      </c>
      <c r="K115" s="78">
        <f>E115*J115</f>
        <v>8100</v>
      </c>
      <c r="M115" s="177">
        <f>H115</f>
        <v>75</v>
      </c>
      <c r="N115" s="200">
        <f>E115*M115</f>
        <v>8100</v>
      </c>
      <c r="O115" s="5"/>
      <c r="P115" s="5"/>
      <c r="Q115" s="5"/>
      <c r="R115" s="5"/>
      <c r="S115" s="5"/>
    </row>
    <row r="116" spans="1:19" outlineLevel="1" x14ac:dyDescent="0.35">
      <c r="A116" s="91" t="s">
        <v>83</v>
      </c>
      <c r="C116" s="46"/>
      <c r="L116" s="52"/>
      <c r="M116" s="5"/>
      <c r="N116" s="5"/>
      <c r="O116" s="5"/>
      <c r="P116" s="54"/>
      <c r="Q116" s="5"/>
      <c r="R116" s="5"/>
      <c r="S116" s="5"/>
    </row>
    <row r="117" spans="1:19" ht="16" outlineLevel="1" thickBot="1" x14ac:dyDescent="0.4">
      <c r="B117" s="37" t="s">
        <v>152</v>
      </c>
      <c r="I117" s="51">
        <f>SUM(I108:I115)</f>
        <v>8468985.0628818572</v>
      </c>
      <c r="J117" s="52"/>
      <c r="K117" s="51">
        <f>SUM(K108:K115)</f>
        <v>8468985.0628818572</v>
      </c>
      <c r="L117" s="78"/>
      <c r="M117" s="5"/>
      <c r="N117" s="51">
        <f>SUM(N108:N115)</f>
        <v>8468979.3310661763</v>
      </c>
      <c r="O117" s="5"/>
      <c r="P117" s="54"/>
      <c r="Q117" s="5"/>
      <c r="R117" s="5"/>
      <c r="S117" s="5"/>
    </row>
    <row r="118" spans="1:19" ht="16" outlineLevel="1" thickTop="1" x14ac:dyDescent="0.35">
      <c r="B118" s="37"/>
      <c r="I118" s="52"/>
      <c r="J118" s="52"/>
      <c r="K118" s="52"/>
      <c r="M118" s="42"/>
      <c r="N118" s="79"/>
      <c r="O118" s="5"/>
      <c r="P118" s="5"/>
      <c r="Q118" s="5"/>
      <c r="R118" s="5"/>
      <c r="S118" s="5"/>
    </row>
    <row r="119" spans="1:19" outlineLevel="1" x14ac:dyDescent="0.35">
      <c r="C119" s="55" t="s">
        <v>201</v>
      </c>
      <c r="I119" s="52"/>
      <c r="J119" s="52"/>
      <c r="K119" s="52"/>
      <c r="L119" s="52"/>
      <c r="M119" s="5"/>
      <c r="N119" s="92">
        <f>N117-I117</f>
        <v>-5.7318156808614731</v>
      </c>
      <c r="O119" s="234">
        <v>0</v>
      </c>
      <c r="P119" s="54" t="s">
        <v>199</v>
      </c>
      <c r="Q119" s="5"/>
      <c r="R119" s="5"/>
      <c r="S119" s="5"/>
    </row>
    <row r="120" spans="1:19" outlineLevel="1" x14ac:dyDescent="0.35">
      <c r="B120" s="37"/>
      <c r="I120" s="52"/>
      <c r="J120" s="52"/>
      <c r="K120" s="52"/>
      <c r="L120" s="52"/>
      <c r="M120" s="5"/>
      <c r="N120" s="57">
        <f>N119/I117</f>
        <v>-6.7680077816916464E-7</v>
      </c>
      <c r="O120" s="54">
        <f>O119-N119</f>
        <v>5.7318156808614731</v>
      </c>
      <c r="P120" s="5"/>
      <c r="Q120" s="5"/>
      <c r="R120" s="5"/>
      <c r="S120" s="5"/>
    </row>
    <row r="121" spans="1:19" outlineLevel="1" x14ac:dyDescent="0.35">
      <c r="M121" s="5"/>
      <c r="N121" s="121"/>
      <c r="O121" s="5"/>
      <c r="P121" s="5"/>
      <c r="Q121" s="5"/>
      <c r="R121" s="5"/>
      <c r="S121" s="5"/>
    </row>
    <row r="122" spans="1:19" outlineLevel="1" x14ac:dyDescent="0.35">
      <c r="B122" s="93" t="s">
        <v>96</v>
      </c>
      <c r="M122" s="5"/>
      <c r="N122" s="121"/>
      <c r="O122" s="5"/>
      <c r="P122" s="5"/>
      <c r="Q122" s="5"/>
      <c r="R122" s="5"/>
      <c r="S122" s="5"/>
    </row>
    <row r="123" spans="1:19" outlineLevel="1" x14ac:dyDescent="0.35">
      <c r="M123" s="5"/>
      <c r="N123" s="121"/>
      <c r="O123" s="5"/>
      <c r="P123" s="5"/>
      <c r="Q123" s="5"/>
      <c r="R123" s="5"/>
      <c r="S123" s="5"/>
    </row>
    <row r="124" spans="1:19" outlineLevel="1" x14ac:dyDescent="0.35">
      <c r="B124" s="94" t="s">
        <v>118</v>
      </c>
      <c r="M124" s="5"/>
      <c r="N124" s="121"/>
      <c r="O124" s="5"/>
      <c r="P124" s="5"/>
      <c r="Q124" s="5"/>
      <c r="R124" s="5"/>
      <c r="S124" s="5"/>
    </row>
    <row r="125" spans="1:19" outlineLevel="1" x14ac:dyDescent="0.35">
      <c r="B125" s="93"/>
      <c r="C125" s="58" t="s">
        <v>94</v>
      </c>
      <c r="E125" s="45"/>
      <c r="M125" s="5"/>
      <c r="N125" s="5"/>
      <c r="O125" s="5"/>
      <c r="P125" s="5"/>
      <c r="Q125" s="5"/>
      <c r="R125" s="5"/>
      <c r="S125" s="5"/>
    </row>
    <row r="126" spans="1:19" outlineLevel="1" x14ac:dyDescent="0.35">
      <c r="A126" s="6" t="s">
        <v>19</v>
      </c>
      <c r="C126" s="17" t="s">
        <v>106</v>
      </c>
      <c r="E126" s="25">
        <v>24</v>
      </c>
      <c r="H126" s="42">
        <v>500</v>
      </c>
      <c r="I126" s="67">
        <f>E126*H126</f>
        <v>12000</v>
      </c>
      <c r="J126" s="199">
        <f>H126</f>
        <v>500</v>
      </c>
      <c r="K126" s="67">
        <f>E126*J126</f>
        <v>12000</v>
      </c>
      <c r="M126" s="242">
        <v>630</v>
      </c>
      <c r="N126" s="67">
        <f>E126*M126</f>
        <v>15120</v>
      </c>
      <c r="O126" s="115"/>
      <c r="P126" s="232">
        <v>634.76</v>
      </c>
      <c r="Q126" s="5" t="s">
        <v>164</v>
      </c>
      <c r="R126" s="5"/>
      <c r="S126" s="5"/>
    </row>
    <row r="127" spans="1:19" outlineLevel="1" x14ac:dyDescent="0.35">
      <c r="A127" s="84"/>
      <c r="B127" s="94"/>
      <c r="C127" s="68" t="s">
        <v>0</v>
      </c>
      <c r="F127" s="45">
        <v>53829.790465210062</v>
      </c>
      <c r="H127" s="43">
        <v>1.0644</v>
      </c>
      <c r="I127" s="69">
        <f>+F127*H127</f>
        <v>57296.428971169589</v>
      </c>
      <c r="J127" s="202">
        <f>H127</f>
        <v>1.0644</v>
      </c>
      <c r="K127" s="69">
        <f>F127*J127</f>
        <v>57296.428971169589</v>
      </c>
      <c r="M127" s="228">
        <v>1.9455</v>
      </c>
      <c r="N127" s="69">
        <f>F127*M127</f>
        <v>104725.85735006617</v>
      </c>
      <c r="O127" s="115"/>
      <c r="P127" s="210">
        <f>M127-M89</f>
        <v>-0.25680000000000014</v>
      </c>
      <c r="Q127" s="6" t="s">
        <v>168</v>
      </c>
      <c r="R127" s="5"/>
      <c r="S127" s="5"/>
    </row>
    <row r="128" spans="1:19" outlineLevel="1" x14ac:dyDescent="0.35">
      <c r="C128" s="37" t="s">
        <v>153</v>
      </c>
      <c r="I128" s="82">
        <f>SUM(I126:I127)</f>
        <v>69296.428971169589</v>
      </c>
      <c r="J128" s="82"/>
      <c r="K128" s="82">
        <f>SUM(K126:K127)</f>
        <v>69296.428971169589</v>
      </c>
      <c r="L128" s="67"/>
      <c r="M128" s="233"/>
      <c r="N128" s="82">
        <f>SUM(N126:N127)</f>
        <v>119845.85735006617</v>
      </c>
      <c r="O128" s="5"/>
      <c r="P128" s="210">
        <f>M127-M47</f>
        <v>-1.4741</v>
      </c>
      <c r="Q128" s="6" t="s">
        <v>178</v>
      </c>
      <c r="R128" s="5"/>
      <c r="S128" s="5"/>
    </row>
    <row r="129" spans="1:19" outlineLevel="1" x14ac:dyDescent="0.35">
      <c r="C129" s="37"/>
      <c r="I129" s="82"/>
      <c r="J129" s="82"/>
      <c r="K129" s="82"/>
      <c r="L129" s="67"/>
      <c r="M129" s="5"/>
      <c r="N129" s="82"/>
      <c r="O129" s="5"/>
      <c r="P129" s="5"/>
      <c r="Q129" s="5"/>
      <c r="R129" s="5"/>
      <c r="S129" s="5"/>
    </row>
    <row r="130" spans="1:19" outlineLevel="1" x14ac:dyDescent="0.35">
      <c r="C130" s="37" t="s">
        <v>154</v>
      </c>
      <c r="G130" s="25" t="s">
        <v>88</v>
      </c>
      <c r="H130" s="47">
        <v>1</v>
      </c>
      <c r="I130" s="82">
        <f>I128/H130</f>
        <v>69296.428971169589</v>
      </c>
      <c r="J130" s="47">
        <v>1</v>
      </c>
      <c r="K130" s="82">
        <f>K128*J130</f>
        <v>69296.428971169589</v>
      </c>
      <c r="L130" s="82"/>
      <c r="M130" s="70">
        <f>H130</f>
        <v>1</v>
      </c>
      <c r="N130" s="82">
        <f>N128/M130</f>
        <v>119845.85735006617</v>
      </c>
      <c r="O130" s="5"/>
      <c r="P130" s="5"/>
      <c r="Q130" s="5"/>
      <c r="R130" s="5"/>
      <c r="S130" s="5"/>
    </row>
    <row r="131" spans="1:19" outlineLevel="1" x14ac:dyDescent="0.35">
      <c r="I131" s="85"/>
      <c r="J131" s="85"/>
      <c r="K131" s="85"/>
      <c r="L131" s="82"/>
      <c r="M131" s="5"/>
      <c r="N131" s="67"/>
      <c r="O131" s="5"/>
      <c r="P131" s="5"/>
      <c r="Q131" s="5"/>
      <c r="R131" s="5"/>
      <c r="S131" s="5"/>
    </row>
    <row r="132" spans="1:19" outlineLevel="1" x14ac:dyDescent="0.35">
      <c r="B132" s="33" t="s">
        <v>119</v>
      </c>
      <c r="L132" s="82"/>
      <c r="M132" s="5"/>
      <c r="N132" s="67"/>
      <c r="O132" s="5"/>
      <c r="P132" s="5"/>
      <c r="Q132" s="5"/>
      <c r="R132" s="5"/>
      <c r="S132" s="5"/>
    </row>
    <row r="133" spans="1:19" outlineLevel="1" x14ac:dyDescent="0.35">
      <c r="C133" s="17" t="s">
        <v>22</v>
      </c>
      <c r="E133" s="25">
        <v>12</v>
      </c>
      <c r="H133" s="42">
        <v>550</v>
      </c>
      <c r="I133" s="41">
        <f>E133*H133</f>
        <v>6600</v>
      </c>
      <c r="J133" s="63">
        <f>H133</f>
        <v>550</v>
      </c>
      <c r="K133" s="41">
        <f>E133*J133</f>
        <v>6600</v>
      </c>
      <c r="L133" s="85"/>
      <c r="M133" s="42">
        <f>H133</f>
        <v>550</v>
      </c>
      <c r="N133" s="67">
        <f>E133*M133</f>
        <v>6600</v>
      </c>
      <c r="O133" s="5"/>
      <c r="P133" s="5"/>
      <c r="Q133" s="5"/>
      <c r="R133" s="5"/>
      <c r="S133" s="5"/>
    </row>
    <row r="134" spans="1:19" outlineLevel="1" x14ac:dyDescent="0.35">
      <c r="A134" s="6" t="s">
        <v>53</v>
      </c>
      <c r="C134" s="58" t="s">
        <v>94</v>
      </c>
      <c r="H134" s="42"/>
      <c r="I134" s="41"/>
      <c r="J134" s="41"/>
      <c r="K134" s="41"/>
      <c r="M134" s="42"/>
      <c r="N134" s="67"/>
      <c r="O134" s="5"/>
      <c r="P134" s="5"/>
      <c r="Q134" s="5"/>
      <c r="R134" s="5"/>
      <c r="S134" s="5"/>
    </row>
    <row r="135" spans="1:19" outlineLevel="1" x14ac:dyDescent="0.35">
      <c r="B135" s="33"/>
      <c r="C135" s="17" t="s">
        <v>106</v>
      </c>
      <c r="E135" s="25">
        <v>12</v>
      </c>
      <c r="H135" s="42">
        <f>H126</f>
        <v>500</v>
      </c>
      <c r="I135" s="41">
        <f>E135*H135</f>
        <v>6000</v>
      </c>
      <c r="J135" s="63">
        <f>H135</f>
        <v>500</v>
      </c>
      <c r="K135" s="41">
        <f>E135*J135</f>
        <v>6000</v>
      </c>
      <c r="L135" s="41"/>
      <c r="M135" s="42">
        <f>M126</f>
        <v>630</v>
      </c>
      <c r="N135" s="67">
        <f>E135*M135</f>
        <v>7560</v>
      </c>
      <c r="O135" s="5"/>
      <c r="P135" s="5"/>
      <c r="Q135" s="5"/>
      <c r="R135" s="5"/>
      <c r="S135" s="5"/>
    </row>
    <row r="136" spans="1:19" outlineLevel="1" x14ac:dyDescent="0.35">
      <c r="B136" s="33"/>
      <c r="C136" s="68" t="s">
        <v>0</v>
      </c>
      <c r="F136" s="45">
        <v>95828.25</v>
      </c>
      <c r="H136" s="43">
        <f>H127</f>
        <v>1.0644</v>
      </c>
      <c r="I136" s="44">
        <f>F136*H136</f>
        <v>101999.58930000001</v>
      </c>
      <c r="J136" s="198">
        <f>H136</f>
        <v>1.0644</v>
      </c>
      <c r="K136" s="44">
        <f>F136*J136</f>
        <v>101999.58930000001</v>
      </c>
      <c r="L136" s="41"/>
      <c r="M136" s="43">
        <f>M127</f>
        <v>1.9455</v>
      </c>
      <c r="N136" s="69">
        <f>F136*M136</f>
        <v>186433.86037499999</v>
      </c>
      <c r="O136" s="5"/>
      <c r="P136" s="5"/>
      <c r="Q136" s="5"/>
      <c r="R136" s="5"/>
      <c r="S136" s="5"/>
    </row>
    <row r="137" spans="1:19" outlineLevel="1" x14ac:dyDescent="0.35">
      <c r="B137" s="33"/>
      <c r="C137" s="37" t="s">
        <v>153</v>
      </c>
      <c r="H137" s="42"/>
      <c r="I137" s="48">
        <f>SUM(I133:I136)</f>
        <v>114599.58930000001</v>
      </c>
      <c r="J137" s="48"/>
      <c r="K137" s="48">
        <f>SUM(K133:K136)</f>
        <v>114599.58930000001</v>
      </c>
      <c r="L137" s="41"/>
      <c r="M137" s="42"/>
      <c r="N137" s="48">
        <f>SUM(N133:N136)</f>
        <v>200593.86037499999</v>
      </c>
      <c r="O137" s="5"/>
      <c r="P137" s="5"/>
      <c r="Q137" s="5"/>
      <c r="R137" s="5"/>
      <c r="S137" s="5"/>
    </row>
    <row r="138" spans="1:19" outlineLevel="1" x14ac:dyDescent="0.35">
      <c r="B138" s="33"/>
      <c r="H138" s="42"/>
      <c r="I138" s="41"/>
      <c r="J138" s="41"/>
      <c r="K138" s="41"/>
      <c r="L138" s="41"/>
      <c r="M138" s="42"/>
      <c r="N138" s="67"/>
      <c r="O138" s="5"/>
      <c r="P138" s="5"/>
      <c r="Q138" s="5"/>
      <c r="R138" s="5"/>
      <c r="S138" s="5"/>
    </row>
    <row r="139" spans="1:19" outlineLevel="1" x14ac:dyDescent="0.35">
      <c r="B139" s="33"/>
      <c r="C139" s="37" t="s">
        <v>154</v>
      </c>
      <c r="D139" s="85"/>
      <c r="E139" s="95"/>
      <c r="F139" s="45"/>
      <c r="G139" s="38" t="s">
        <v>88</v>
      </c>
      <c r="H139" s="47">
        <v>1</v>
      </c>
      <c r="I139" s="82">
        <f>I137/H139</f>
        <v>114599.58930000001</v>
      </c>
      <c r="J139" s="47">
        <v>1</v>
      </c>
      <c r="K139" s="82">
        <f>K137*J139</f>
        <v>114599.58930000001</v>
      </c>
      <c r="L139" s="41"/>
      <c r="M139" s="70">
        <f>H139</f>
        <v>1</v>
      </c>
      <c r="N139" s="82">
        <f>N137/M139</f>
        <v>200593.86037499999</v>
      </c>
      <c r="O139" s="5"/>
      <c r="P139" s="5"/>
      <c r="Q139" s="5"/>
      <c r="R139" s="5"/>
      <c r="S139" s="5"/>
    </row>
    <row r="140" spans="1:19" outlineLevel="1" x14ac:dyDescent="0.35">
      <c r="B140" s="33"/>
      <c r="C140" s="37"/>
      <c r="D140" s="85"/>
      <c r="E140" s="95"/>
      <c r="F140" s="45"/>
      <c r="G140" s="38"/>
      <c r="H140" s="47"/>
      <c r="I140" s="82"/>
      <c r="J140" s="47"/>
      <c r="K140" s="82"/>
      <c r="L140" s="41"/>
      <c r="M140" s="70"/>
      <c r="N140" s="82"/>
      <c r="O140" s="5"/>
      <c r="P140" s="5"/>
      <c r="Q140" s="5"/>
      <c r="R140" s="5"/>
      <c r="S140" s="5"/>
    </row>
    <row r="141" spans="1:19" outlineLevel="1" x14ac:dyDescent="0.35">
      <c r="B141" s="33"/>
      <c r="C141" s="17" t="s">
        <v>158</v>
      </c>
      <c r="D141" s="85"/>
      <c r="E141" s="95"/>
      <c r="F141" s="45"/>
      <c r="G141" s="38"/>
      <c r="H141" s="47"/>
      <c r="I141" s="82"/>
      <c r="J141" s="47"/>
      <c r="K141" s="83">
        <f>I147-K147</f>
        <v>37728.318398582102</v>
      </c>
      <c r="L141" s="41"/>
      <c r="M141" s="70"/>
      <c r="N141" s="41"/>
      <c r="O141" s="5"/>
      <c r="P141" s="5"/>
      <c r="Q141" s="5"/>
      <c r="R141" s="5"/>
      <c r="S141" s="5"/>
    </row>
    <row r="142" spans="1:19" outlineLevel="1" x14ac:dyDescent="0.35">
      <c r="B142" s="33"/>
      <c r="C142" s="6"/>
      <c r="D142" s="85"/>
      <c r="E142" s="95"/>
      <c r="F142" s="45"/>
      <c r="H142" s="87"/>
      <c r="I142" s="41"/>
      <c r="J142" s="41"/>
      <c r="K142" s="41"/>
      <c r="L142" s="41"/>
      <c r="M142" s="5"/>
      <c r="N142" s="67"/>
      <c r="O142" s="5"/>
      <c r="P142" s="5"/>
      <c r="Q142" s="5"/>
      <c r="R142" s="5"/>
      <c r="S142" s="5"/>
    </row>
    <row r="143" spans="1:19" ht="16" outlineLevel="1" thickBot="1" x14ac:dyDescent="0.4">
      <c r="C143" s="37" t="s">
        <v>163</v>
      </c>
      <c r="F143" s="49"/>
      <c r="I143" s="51">
        <f>I130+I139+I141</f>
        <v>183896.0182711696</v>
      </c>
      <c r="K143" s="51">
        <f>K130+K139+K141</f>
        <v>221624.3366697517</v>
      </c>
      <c r="M143" s="5"/>
      <c r="N143" s="51">
        <f>N130+N139+N141</f>
        <v>320439.71772506618</v>
      </c>
      <c r="Q143" s="5"/>
      <c r="R143" s="5"/>
      <c r="S143" s="5"/>
    </row>
    <row r="144" spans="1:19" ht="16" outlineLevel="1" thickTop="1" x14ac:dyDescent="0.35">
      <c r="F144" s="49"/>
      <c r="M144" s="5"/>
      <c r="N144" s="5"/>
      <c r="Q144" s="5"/>
      <c r="R144" s="5"/>
      <c r="S144" s="5"/>
    </row>
    <row r="145" spans="1:19" outlineLevel="1" x14ac:dyDescent="0.35">
      <c r="B145" s="33"/>
      <c r="C145" s="46" t="s">
        <v>34</v>
      </c>
      <c r="D145" s="6"/>
      <c r="E145" s="50"/>
      <c r="F145" s="50"/>
      <c r="G145" s="50"/>
      <c r="H145" s="6"/>
      <c r="I145" s="41">
        <v>178832.92277828581</v>
      </c>
      <c r="J145" s="41"/>
      <c r="K145" s="41">
        <v>178832.92277828581</v>
      </c>
      <c r="L145" s="82"/>
      <c r="M145" s="5"/>
      <c r="N145" s="67">
        <f>I145</f>
        <v>178832.92277828581</v>
      </c>
      <c r="O145" s="5"/>
      <c r="P145" s="5"/>
      <c r="Q145" s="5"/>
      <c r="R145" s="5"/>
      <c r="S145" s="5"/>
    </row>
    <row r="146" spans="1:19" outlineLevel="1" x14ac:dyDescent="0.35">
      <c r="B146" s="33"/>
      <c r="C146" s="46" t="s">
        <v>35</v>
      </c>
      <c r="F146" s="45"/>
      <c r="H146" s="62"/>
      <c r="I146" s="41">
        <v>436.95710952000752</v>
      </c>
      <c r="J146" s="41"/>
      <c r="K146" s="41">
        <v>436.95710952000752</v>
      </c>
      <c r="L146" s="41"/>
      <c r="M146" s="5"/>
      <c r="N146" s="67">
        <f>I146</f>
        <v>436.95710952000752</v>
      </c>
      <c r="O146" s="5"/>
      <c r="P146" s="5"/>
      <c r="Q146" s="5"/>
      <c r="R146" s="5"/>
      <c r="S146" s="5"/>
    </row>
    <row r="147" spans="1:19" outlineLevel="1" x14ac:dyDescent="0.35">
      <c r="B147" s="33"/>
      <c r="C147" s="46" t="s">
        <v>31</v>
      </c>
      <c r="F147" s="45"/>
      <c r="H147" s="62"/>
      <c r="I147" s="41">
        <v>56503.835469725731</v>
      </c>
      <c r="J147" s="41"/>
      <c r="K147" s="41">
        <v>18775.517071143629</v>
      </c>
      <c r="L147" s="67"/>
      <c r="M147" s="5"/>
      <c r="N147" s="67">
        <f>K147</f>
        <v>18775.517071143629</v>
      </c>
      <c r="O147" s="5"/>
      <c r="P147" s="5"/>
      <c r="Q147" s="5"/>
      <c r="R147" s="5"/>
      <c r="S147" s="5"/>
    </row>
    <row r="148" spans="1:19" outlineLevel="1" x14ac:dyDescent="0.35">
      <c r="D148" s="85"/>
      <c r="E148" s="95"/>
      <c r="F148" s="95"/>
      <c r="G148" s="50"/>
      <c r="H148" s="6"/>
      <c r="I148" s="6"/>
      <c r="J148" s="6"/>
      <c r="K148" s="6"/>
      <c r="L148" s="67"/>
      <c r="M148" s="5"/>
      <c r="N148" s="67"/>
      <c r="O148" s="5"/>
      <c r="P148" s="5"/>
      <c r="Q148" s="5"/>
      <c r="R148" s="5"/>
      <c r="S148" s="5"/>
    </row>
    <row r="149" spans="1:19" outlineLevel="1" x14ac:dyDescent="0.35">
      <c r="B149" s="36" t="s">
        <v>71</v>
      </c>
      <c r="I149" s="52"/>
      <c r="J149" s="52"/>
      <c r="K149" s="52"/>
      <c r="L149" s="67"/>
      <c r="M149" s="5"/>
      <c r="N149" s="52"/>
      <c r="O149" s="5"/>
      <c r="P149" s="5"/>
      <c r="Q149" s="5"/>
      <c r="R149" s="5"/>
      <c r="S149" s="5"/>
    </row>
    <row r="150" spans="1:19" outlineLevel="1" x14ac:dyDescent="0.35">
      <c r="C150" s="17" t="s">
        <v>61</v>
      </c>
      <c r="E150" s="45">
        <v>0</v>
      </c>
      <c r="H150" s="177">
        <v>75</v>
      </c>
      <c r="I150" s="78">
        <f>E150*H150</f>
        <v>0</v>
      </c>
      <c r="J150" s="90">
        <f>H150</f>
        <v>75</v>
      </c>
      <c r="K150" s="78">
        <f>E150*J150</f>
        <v>0</v>
      </c>
      <c r="L150" s="6"/>
      <c r="M150" s="177">
        <f>M74</f>
        <v>75</v>
      </c>
      <c r="N150" s="79">
        <f>E147*M150</f>
        <v>0</v>
      </c>
      <c r="O150" s="5"/>
      <c r="P150" s="5"/>
      <c r="Q150" s="5"/>
      <c r="R150" s="5"/>
      <c r="S150" s="5"/>
    </row>
    <row r="151" spans="1:19" outlineLevel="1" x14ac:dyDescent="0.35">
      <c r="A151" s="6" t="s">
        <v>54</v>
      </c>
      <c r="D151" s="85"/>
      <c r="E151" s="95"/>
      <c r="F151" s="95"/>
      <c r="G151" s="50"/>
      <c r="H151" s="6"/>
      <c r="I151" s="6"/>
      <c r="J151" s="6"/>
      <c r="K151" s="6"/>
      <c r="L151" s="52"/>
      <c r="M151" s="5"/>
      <c r="N151" s="67"/>
      <c r="O151" s="5"/>
      <c r="P151" s="54"/>
      <c r="Q151" s="5"/>
      <c r="R151" s="5"/>
      <c r="S151" s="5"/>
    </row>
    <row r="152" spans="1:19" ht="16" outlineLevel="1" thickBot="1" x14ac:dyDescent="0.4">
      <c r="B152" s="37" t="s">
        <v>152</v>
      </c>
      <c r="D152" s="85"/>
      <c r="E152" s="95"/>
      <c r="F152" s="95"/>
      <c r="I152" s="51">
        <f>SUM(I143:I150)</f>
        <v>419669.73362870113</v>
      </c>
      <c r="J152" s="52"/>
      <c r="K152" s="51">
        <f>SUM(K143:K150)</f>
        <v>419669.73362870107</v>
      </c>
      <c r="L152" s="78"/>
      <c r="M152" s="5"/>
      <c r="N152" s="51">
        <f>SUM(N143:N150)</f>
        <v>518485.11468401557</v>
      </c>
      <c r="O152" s="5"/>
      <c r="P152" s="54"/>
      <c r="Q152" s="5"/>
      <c r="R152" s="5"/>
      <c r="S152" s="5"/>
    </row>
    <row r="153" spans="1:19" ht="16" outlineLevel="1" thickTop="1" x14ac:dyDescent="0.35">
      <c r="B153" s="37"/>
      <c r="D153" s="85"/>
      <c r="E153" s="95"/>
      <c r="F153" s="95"/>
      <c r="I153" s="52"/>
      <c r="J153" s="52"/>
      <c r="K153" s="52"/>
      <c r="L153" s="6"/>
      <c r="M153" s="5"/>
      <c r="N153" s="67"/>
      <c r="O153" s="5"/>
      <c r="P153" s="5"/>
      <c r="Q153" s="5"/>
      <c r="R153" s="5"/>
      <c r="S153" s="5"/>
    </row>
    <row r="154" spans="1:19" outlineLevel="1" x14ac:dyDescent="0.35">
      <c r="C154" s="55" t="s">
        <v>198</v>
      </c>
      <c r="D154" s="85"/>
      <c r="E154" s="95"/>
      <c r="F154" s="95"/>
      <c r="I154" s="52"/>
      <c r="J154" s="52"/>
      <c r="K154" s="52"/>
      <c r="L154" s="52"/>
      <c r="M154" s="5"/>
      <c r="N154" s="67">
        <f>N152-I152</f>
        <v>98815.381055314443</v>
      </c>
      <c r="O154" s="235">
        <v>98813.932143936487</v>
      </c>
      <c r="P154" s="5" t="s">
        <v>199</v>
      </c>
      <c r="Q154" s="5"/>
      <c r="R154" s="5"/>
      <c r="S154" s="5"/>
    </row>
    <row r="155" spans="1:19" outlineLevel="1" x14ac:dyDescent="0.35">
      <c r="B155" s="37"/>
      <c r="C155" s="55"/>
      <c r="D155" s="85"/>
      <c r="E155" s="95"/>
      <c r="F155" s="95"/>
      <c r="I155" s="52"/>
      <c r="J155" s="52"/>
      <c r="K155" s="52"/>
      <c r="L155" s="52"/>
      <c r="M155" s="5"/>
      <c r="N155" s="57">
        <f>N154/I152</f>
        <v>0.23545987031492824</v>
      </c>
      <c r="O155" s="212">
        <f>N154-O154</f>
        <v>1.4489113779563922</v>
      </c>
      <c r="Q155" s="5"/>
      <c r="R155" s="5"/>
      <c r="S155" s="5"/>
    </row>
    <row r="156" spans="1:19" outlineLevel="1" x14ac:dyDescent="0.35">
      <c r="A156" s="6" t="s">
        <v>93</v>
      </c>
      <c r="M156" s="5"/>
      <c r="N156" s="121"/>
      <c r="O156" s="5"/>
      <c r="P156" s="5"/>
      <c r="Q156" s="5"/>
      <c r="R156" s="5"/>
      <c r="S156" s="5"/>
    </row>
    <row r="157" spans="1:19" outlineLevel="1" x14ac:dyDescent="0.35">
      <c r="A157" s="6" t="s">
        <v>1</v>
      </c>
      <c r="B157" s="36" t="s">
        <v>18</v>
      </c>
      <c r="M157" s="5"/>
      <c r="N157" s="5"/>
      <c r="O157" s="5"/>
      <c r="P157" s="5"/>
      <c r="Q157" s="5"/>
      <c r="R157" s="5"/>
      <c r="S157" s="5"/>
    </row>
    <row r="158" spans="1:19" outlineLevel="1" x14ac:dyDescent="0.35">
      <c r="M158" s="5"/>
      <c r="N158" s="5"/>
      <c r="O158" s="5"/>
      <c r="P158" s="5"/>
      <c r="Q158" s="5"/>
      <c r="R158" s="5"/>
      <c r="S158" s="5"/>
    </row>
    <row r="159" spans="1:19" outlineLevel="1" x14ac:dyDescent="0.35">
      <c r="B159" s="37" t="s">
        <v>120</v>
      </c>
      <c r="L159" s="67"/>
      <c r="M159" s="71"/>
      <c r="N159" s="54"/>
      <c r="O159" s="5"/>
      <c r="P159" s="5"/>
      <c r="Q159" s="5"/>
      <c r="R159" s="5"/>
      <c r="S159" s="5"/>
    </row>
    <row r="160" spans="1:19" outlineLevel="1" x14ac:dyDescent="0.35">
      <c r="C160" s="17" t="s">
        <v>16</v>
      </c>
      <c r="D160" s="85"/>
      <c r="E160" s="25">
        <v>966</v>
      </c>
      <c r="F160" s="95"/>
      <c r="H160" s="42">
        <v>550</v>
      </c>
      <c r="I160" s="67">
        <f>+E160*H160</f>
        <v>531300</v>
      </c>
      <c r="J160" s="199">
        <f>H160</f>
        <v>550</v>
      </c>
      <c r="K160" s="67">
        <f>+E160*J160</f>
        <v>531300</v>
      </c>
      <c r="L160" s="67"/>
      <c r="M160" s="42">
        <f>H160</f>
        <v>550</v>
      </c>
      <c r="N160" s="67">
        <f>E160*M160</f>
        <v>531300</v>
      </c>
      <c r="O160" s="115"/>
      <c r="P160" s="5" t="s">
        <v>167</v>
      </c>
      <c r="Q160" s="5"/>
      <c r="R160" s="5"/>
      <c r="S160" s="5"/>
    </row>
    <row r="161" spans="1:19" outlineLevel="1" x14ac:dyDescent="0.35">
      <c r="C161" s="58" t="s">
        <v>94</v>
      </c>
      <c r="D161" s="85"/>
      <c r="F161" s="95"/>
      <c r="H161" s="42"/>
      <c r="I161" s="67"/>
      <c r="J161" s="67"/>
      <c r="K161" s="67"/>
      <c r="L161" s="52"/>
      <c r="M161" s="42"/>
      <c r="N161" s="67"/>
      <c r="O161" s="5"/>
      <c r="P161" s="101"/>
      <c r="Q161" s="5"/>
      <c r="R161" s="5"/>
      <c r="S161" s="5"/>
    </row>
    <row r="162" spans="1:19" outlineLevel="1" x14ac:dyDescent="0.35">
      <c r="B162" s="37"/>
      <c r="C162" s="55" t="s">
        <v>106</v>
      </c>
      <c r="E162" s="49">
        <f>E160</f>
        <v>966</v>
      </c>
      <c r="H162" s="42">
        <v>750</v>
      </c>
      <c r="I162" s="92">
        <f>E162*H162</f>
        <v>724500</v>
      </c>
      <c r="J162" s="205">
        <f>H162</f>
        <v>750</v>
      </c>
      <c r="K162" s="92">
        <f>E162*J162</f>
        <v>724500</v>
      </c>
      <c r="L162" s="79"/>
      <c r="M162" s="42">
        <f>H162</f>
        <v>750</v>
      </c>
      <c r="N162" s="79">
        <f>E162*M162</f>
        <v>724500</v>
      </c>
      <c r="O162" s="115"/>
      <c r="P162" s="232">
        <v>574.47</v>
      </c>
      <c r="Q162" s="5" t="s">
        <v>164</v>
      </c>
      <c r="R162" s="5"/>
      <c r="S162" s="5"/>
    </row>
    <row r="163" spans="1:19" outlineLevel="1" x14ac:dyDescent="0.35">
      <c r="C163" s="85" t="s">
        <v>0</v>
      </c>
      <c r="F163" s="45">
        <v>11907403.008531963</v>
      </c>
      <c r="H163" s="43">
        <v>3.7999999999999999E-2</v>
      </c>
      <c r="I163" s="79">
        <f>+F163*H163</f>
        <v>452481.31432421459</v>
      </c>
      <c r="J163" s="206">
        <f t="shared" ref="J163:J164" si="0">H163</f>
        <v>3.7999999999999999E-2</v>
      </c>
      <c r="K163" s="79">
        <f>+F163*J163</f>
        <v>452481.31432421459</v>
      </c>
      <c r="L163" s="67"/>
      <c r="M163" s="241">
        <v>4.5600000000000002E-2</v>
      </c>
      <c r="N163" s="79">
        <f>F163*M163</f>
        <v>542977.5771890576</v>
      </c>
      <c r="O163" s="115"/>
      <c r="P163" s="234">
        <v>4.53E-2</v>
      </c>
      <c r="Q163" s="5" t="s">
        <v>164</v>
      </c>
      <c r="R163" s="5"/>
      <c r="S163" s="5"/>
    </row>
    <row r="164" spans="1:19" outlineLevel="1" x14ac:dyDescent="0.35">
      <c r="C164" s="68" t="s">
        <v>13</v>
      </c>
      <c r="D164" s="85"/>
      <c r="F164" s="45">
        <v>938972.22055749339</v>
      </c>
      <c r="H164" s="42">
        <v>4.8899999999999997</v>
      </c>
      <c r="I164" s="69">
        <f>F164*H164</f>
        <v>4591574.1585261421</v>
      </c>
      <c r="J164" s="205">
        <f t="shared" si="0"/>
        <v>4.8899999999999997</v>
      </c>
      <c r="K164" s="69">
        <f>F164*J164</f>
        <v>4591574.1585261421</v>
      </c>
      <c r="L164" s="82"/>
      <c r="M164" s="232">
        <v>7.48</v>
      </c>
      <c r="N164" s="69">
        <f>F164*M164</f>
        <v>7023512.2097700508</v>
      </c>
      <c r="O164" s="115"/>
      <c r="P164" s="5"/>
      <c r="Q164" s="5"/>
      <c r="R164" s="5"/>
      <c r="S164" s="5"/>
    </row>
    <row r="165" spans="1:19" outlineLevel="1" x14ac:dyDescent="0.35">
      <c r="C165" s="37" t="s">
        <v>153</v>
      </c>
      <c r="D165" s="96"/>
      <c r="E165" s="97"/>
      <c r="F165" s="97"/>
      <c r="H165" s="62"/>
      <c r="I165" s="82">
        <f>SUM(I160:I164)</f>
        <v>6299855.4728503563</v>
      </c>
      <c r="J165" s="82"/>
      <c r="K165" s="82">
        <f>SUM(K160:K164)</f>
        <v>6299855.4728503563</v>
      </c>
      <c r="L165" s="82"/>
      <c r="M165" s="5"/>
      <c r="N165" s="82">
        <f>SUM(N160:N164)</f>
        <v>8822289.786959108</v>
      </c>
      <c r="O165" s="5"/>
      <c r="P165" s="5"/>
      <c r="Q165" s="5"/>
      <c r="R165" s="5"/>
      <c r="S165" s="5"/>
    </row>
    <row r="166" spans="1:19" outlineLevel="1" x14ac:dyDescent="0.35">
      <c r="C166" s="37"/>
      <c r="D166" s="96"/>
      <c r="E166" s="97"/>
      <c r="F166" s="97"/>
      <c r="H166" s="62"/>
      <c r="I166" s="82"/>
      <c r="J166" s="82"/>
      <c r="K166" s="82"/>
      <c r="L166" s="41"/>
      <c r="M166" s="5"/>
      <c r="N166" s="82"/>
      <c r="O166" s="5"/>
      <c r="P166" s="5"/>
      <c r="Q166" s="5"/>
      <c r="R166" s="5"/>
      <c r="S166" s="5"/>
    </row>
    <row r="167" spans="1:19" outlineLevel="1" x14ac:dyDescent="0.35">
      <c r="C167" s="37" t="s">
        <v>154</v>
      </c>
      <c r="D167" s="96"/>
      <c r="E167" s="97"/>
      <c r="F167" s="97"/>
      <c r="G167" s="38" t="s">
        <v>88</v>
      </c>
      <c r="H167" s="47">
        <v>1</v>
      </c>
      <c r="I167" s="48">
        <f>I165/H167</f>
        <v>6299855.4728503563</v>
      </c>
      <c r="J167" s="47">
        <v>1</v>
      </c>
      <c r="K167" s="48">
        <f>K165/J167</f>
        <v>6299855.4728503563</v>
      </c>
      <c r="L167" s="41"/>
      <c r="M167" s="98">
        <f>H167</f>
        <v>1</v>
      </c>
      <c r="N167" s="99">
        <f>N165/M167</f>
        <v>8822289.786959108</v>
      </c>
      <c r="O167" s="5"/>
      <c r="P167" s="5"/>
      <c r="Q167" s="5"/>
      <c r="R167" s="5"/>
      <c r="S167" s="5"/>
    </row>
    <row r="168" spans="1:19" outlineLevel="1" x14ac:dyDescent="0.35">
      <c r="C168" s="37"/>
      <c r="D168" s="96"/>
      <c r="E168" s="97"/>
      <c r="F168" s="97"/>
      <c r="G168" s="38"/>
      <c r="H168" s="47"/>
      <c r="I168" s="48"/>
      <c r="J168" s="47"/>
      <c r="K168" s="48"/>
      <c r="L168" s="41"/>
      <c r="M168" s="98"/>
      <c r="N168" s="99"/>
      <c r="O168" s="5"/>
      <c r="P168" s="5"/>
      <c r="Q168" s="5"/>
      <c r="R168" s="5"/>
      <c r="S168" s="5"/>
    </row>
    <row r="169" spans="1:19" outlineLevel="1" x14ac:dyDescent="0.35">
      <c r="C169" s="17" t="s">
        <v>158</v>
      </c>
      <c r="D169" s="96"/>
      <c r="E169" s="97"/>
      <c r="F169" s="97"/>
      <c r="G169" s="38"/>
      <c r="H169" s="47"/>
      <c r="I169" s="48"/>
      <c r="J169" s="47"/>
      <c r="K169" s="41">
        <f>I175-K175</f>
        <v>173248.80759642037</v>
      </c>
      <c r="L169" s="41"/>
      <c r="M169" s="98"/>
      <c r="N169" s="41"/>
      <c r="O169" s="5"/>
      <c r="P169" s="5"/>
      <c r="Q169" s="5"/>
      <c r="R169" s="5"/>
      <c r="S169" s="5"/>
    </row>
    <row r="170" spans="1:19" outlineLevel="1" x14ac:dyDescent="0.35">
      <c r="C170" s="46"/>
      <c r="D170" s="96"/>
      <c r="E170" s="97"/>
      <c r="F170" s="97"/>
      <c r="H170" s="62"/>
      <c r="I170" s="41"/>
      <c r="J170" s="41"/>
      <c r="K170" s="41"/>
      <c r="L170" s="41"/>
      <c r="M170" s="5"/>
      <c r="N170" s="67"/>
      <c r="O170" s="5"/>
      <c r="P170" s="5"/>
      <c r="Q170" s="5"/>
      <c r="R170" s="5"/>
      <c r="S170" s="5"/>
    </row>
    <row r="171" spans="1:19" ht="16" outlineLevel="1" thickBot="1" x14ac:dyDescent="0.4">
      <c r="C171" s="37" t="s">
        <v>163</v>
      </c>
      <c r="F171" s="49"/>
      <c r="I171" s="51">
        <f>I167+I169</f>
        <v>6299855.4728503563</v>
      </c>
      <c r="K171" s="51">
        <f>K167+K169</f>
        <v>6473104.2804467762</v>
      </c>
      <c r="M171" s="5"/>
      <c r="N171" s="51">
        <f>N167+N169</f>
        <v>8822289.786959108</v>
      </c>
      <c r="Q171" s="5"/>
      <c r="R171" s="5"/>
      <c r="S171" s="5"/>
    </row>
    <row r="172" spans="1:19" ht="16" outlineLevel="1" thickTop="1" x14ac:dyDescent="0.35">
      <c r="F172" s="49"/>
      <c r="M172" s="5"/>
      <c r="N172" s="5"/>
      <c r="Q172" s="5"/>
      <c r="R172" s="5"/>
      <c r="S172" s="5"/>
    </row>
    <row r="173" spans="1:19" outlineLevel="1" x14ac:dyDescent="0.35">
      <c r="C173" s="46" t="s">
        <v>34</v>
      </c>
      <c r="D173" s="96"/>
      <c r="E173" s="97"/>
      <c r="F173" s="97"/>
      <c r="H173" s="62"/>
      <c r="I173" s="41">
        <v>0</v>
      </c>
      <c r="J173" s="41"/>
      <c r="K173" s="41">
        <v>0</v>
      </c>
      <c r="L173" s="41"/>
      <c r="M173" s="5"/>
      <c r="N173" s="67">
        <f>I173</f>
        <v>0</v>
      </c>
      <c r="O173" s="5"/>
      <c r="P173" s="5"/>
      <c r="Q173" s="5"/>
      <c r="R173" s="5"/>
      <c r="S173" s="5"/>
    </row>
    <row r="174" spans="1:19" outlineLevel="1" x14ac:dyDescent="0.35">
      <c r="C174" s="46" t="s">
        <v>35</v>
      </c>
      <c r="D174" s="96"/>
      <c r="E174" s="97"/>
      <c r="F174" s="97"/>
      <c r="H174" s="62"/>
      <c r="I174" s="41">
        <v>0</v>
      </c>
      <c r="J174" s="41"/>
      <c r="K174" s="41">
        <v>0</v>
      </c>
      <c r="L174" s="41"/>
      <c r="M174" s="5"/>
      <c r="N174" s="67">
        <f>I174</f>
        <v>0</v>
      </c>
      <c r="O174" s="5"/>
      <c r="P174" s="5"/>
      <c r="Q174" s="5"/>
      <c r="R174" s="5"/>
      <c r="S174" s="5"/>
    </row>
    <row r="175" spans="1:19" outlineLevel="1" x14ac:dyDescent="0.35">
      <c r="C175" s="46" t="s">
        <v>31</v>
      </c>
      <c r="D175" s="96"/>
      <c r="E175" s="97"/>
      <c r="F175" s="97"/>
      <c r="H175" s="62"/>
      <c r="I175" s="41">
        <v>254699.60863032876</v>
      </c>
      <c r="J175" s="41"/>
      <c r="K175" s="41">
        <v>81450.801033908385</v>
      </c>
      <c r="L175" s="52"/>
      <c r="M175" s="5"/>
      <c r="N175" s="67">
        <f>K175</f>
        <v>81450.801033908385</v>
      </c>
      <c r="O175" s="5"/>
      <c r="P175" s="101"/>
      <c r="Q175" s="5"/>
      <c r="R175" s="5"/>
      <c r="S175" s="5"/>
    </row>
    <row r="176" spans="1:19" outlineLevel="1" x14ac:dyDescent="0.35">
      <c r="A176" s="6" t="s">
        <v>82</v>
      </c>
      <c r="B176" s="37"/>
      <c r="C176" s="100"/>
      <c r="I176" s="52"/>
      <c r="J176" s="52"/>
      <c r="K176" s="52"/>
      <c r="M176" s="5"/>
      <c r="N176" s="52"/>
      <c r="O176" s="5"/>
      <c r="P176" s="5"/>
      <c r="Q176" s="5"/>
      <c r="R176" s="5"/>
      <c r="S176" s="5"/>
    </row>
    <row r="177" spans="1:19" ht="15" customHeight="1" outlineLevel="1" x14ac:dyDescent="0.35">
      <c r="B177" s="36" t="s">
        <v>70</v>
      </c>
      <c r="L177" s="67"/>
      <c r="M177" s="5"/>
      <c r="N177" s="67"/>
      <c r="O177" s="5"/>
      <c r="P177" s="5"/>
      <c r="Q177" s="5"/>
      <c r="R177" s="5"/>
      <c r="S177" s="5"/>
    </row>
    <row r="178" spans="1:19" ht="15" customHeight="1" outlineLevel="1" x14ac:dyDescent="0.35">
      <c r="B178" s="85"/>
      <c r="C178" s="17" t="s">
        <v>61</v>
      </c>
      <c r="E178" s="45">
        <v>852</v>
      </c>
      <c r="H178" s="177">
        <v>75</v>
      </c>
      <c r="I178" s="67">
        <f>+E178*H178</f>
        <v>63900</v>
      </c>
      <c r="J178" s="67">
        <f>H178</f>
        <v>75</v>
      </c>
      <c r="K178" s="67">
        <f>E178*J178</f>
        <v>63900</v>
      </c>
      <c r="L178" s="67"/>
      <c r="M178" s="177">
        <f>H178</f>
        <v>75</v>
      </c>
      <c r="N178" s="67">
        <f>E178*M178</f>
        <v>63900</v>
      </c>
      <c r="O178" s="5"/>
      <c r="P178" s="5"/>
      <c r="Q178" s="5"/>
      <c r="R178" s="5"/>
      <c r="S178" s="5"/>
    </row>
    <row r="179" spans="1:19" outlineLevel="1" x14ac:dyDescent="0.35">
      <c r="B179" s="85"/>
      <c r="E179" s="45"/>
      <c r="H179" s="42"/>
      <c r="I179" s="67"/>
      <c r="J179" s="67"/>
      <c r="K179" s="67"/>
      <c r="L179" s="52"/>
      <c r="M179" s="42"/>
      <c r="N179" s="67"/>
      <c r="O179" s="5"/>
      <c r="P179" s="101"/>
      <c r="Q179" s="5"/>
      <c r="R179" s="5"/>
      <c r="S179" s="5"/>
    </row>
    <row r="180" spans="1:19" ht="16" outlineLevel="1" thickBot="1" x14ac:dyDescent="0.4">
      <c r="B180" s="37" t="s">
        <v>152</v>
      </c>
      <c r="C180" s="100"/>
      <c r="I180" s="51">
        <f>SUM(I171:I178)</f>
        <v>6618455.0814806847</v>
      </c>
      <c r="J180" s="52"/>
      <c r="K180" s="51">
        <f>SUM(K171:K178)</f>
        <v>6618455.0814806847</v>
      </c>
      <c r="L180" s="52"/>
      <c r="M180" s="5"/>
      <c r="N180" s="51">
        <f>SUM(N171:N178)</f>
        <v>8967640.5879930165</v>
      </c>
      <c r="O180" s="5"/>
      <c r="P180" s="101"/>
      <c r="Q180" s="5"/>
      <c r="R180" s="5"/>
      <c r="S180" s="5"/>
    </row>
    <row r="181" spans="1:19" ht="16" outlineLevel="1" thickTop="1" x14ac:dyDescent="0.35">
      <c r="B181" s="37"/>
      <c r="C181" s="100"/>
      <c r="I181" s="52"/>
      <c r="J181" s="52"/>
      <c r="K181" s="52"/>
      <c r="L181" s="52"/>
      <c r="M181" s="5"/>
      <c r="N181" s="52"/>
      <c r="O181" s="5"/>
      <c r="P181" s="101"/>
      <c r="Q181" s="5"/>
      <c r="R181" s="5"/>
      <c r="S181" s="5"/>
    </row>
    <row r="182" spans="1:19" outlineLevel="1" x14ac:dyDescent="0.35">
      <c r="B182" s="37"/>
      <c r="C182" s="55" t="s">
        <v>198</v>
      </c>
      <c r="I182" s="52"/>
      <c r="J182" s="52"/>
      <c r="K182" s="52"/>
      <c r="L182" s="52"/>
      <c r="M182" s="5"/>
      <c r="N182" s="92">
        <f>N180-I180</f>
        <v>2349185.5065123318</v>
      </c>
      <c r="O182" s="235">
        <v>2348997.8758538556</v>
      </c>
      <c r="P182" s="101" t="s">
        <v>199</v>
      </c>
      <c r="Q182" s="5"/>
      <c r="R182" s="5"/>
      <c r="S182" s="5"/>
    </row>
    <row r="183" spans="1:19" outlineLevel="1" x14ac:dyDescent="0.35">
      <c r="B183" s="37"/>
      <c r="I183" s="52"/>
      <c r="J183" s="52"/>
      <c r="K183" s="52"/>
      <c r="M183" s="5"/>
      <c r="N183" s="57">
        <f>N182/I180</f>
        <v>0.35494469292171588</v>
      </c>
      <c r="O183" s="54">
        <f>N182-O182</f>
        <v>187.6306584761478</v>
      </c>
      <c r="P183" s="101"/>
      <c r="Q183" s="5"/>
      <c r="R183" s="5"/>
      <c r="S183" s="5"/>
    </row>
    <row r="184" spans="1:19" outlineLevel="1" x14ac:dyDescent="0.35">
      <c r="B184" s="37"/>
      <c r="I184" s="52"/>
      <c r="J184" s="52"/>
      <c r="K184" s="52"/>
      <c r="M184" s="5"/>
      <c r="N184" s="57"/>
      <c r="O184" s="5"/>
      <c r="P184" s="5"/>
      <c r="Q184" s="5"/>
      <c r="R184" s="5"/>
      <c r="S184" s="5"/>
    </row>
    <row r="185" spans="1:19" outlineLevel="1" x14ac:dyDescent="0.35">
      <c r="M185" s="5"/>
      <c r="N185" s="121" t="s">
        <v>189</v>
      </c>
      <c r="O185" s="5"/>
      <c r="P185" s="5"/>
      <c r="Q185" s="5"/>
      <c r="R185" s="5"/>
      <c r="S185" s="5"/>
    </row>
    <row r="186" spans="1:19" outlineLevel="1" x14ac:dyDescent="0.35">
      <c r="B186" s="36" t="s">
        <v>20</v>
      </c>
      <c r="M186" s="5"/>
      <c r="N186" s="5"/>
      <c r="O186" s="5"/>
      <c r="P186" s="5"/>
      <c r="Q186" s="5"/>
      <c r="R186" s="5"/>
      <c r="S186" s="5"/>
    </row>
    <row r="187" spans="1:19" outlineLevel="1" x14ac:dyDescent="0.35">
      <c r="B187" s="39"/>
      <c r="M187" s="5"/>
      <c r="N187" s="5"/>
      <c r="O187" s="5"/>
      <c r="P187" s="5"/>
      <c r="Q187" s="5"/>
      <c r="R187" s="5"/>
      <c r="S187" s="5"/>
    </row>
    <row r="188" spans="1:19" outlineLevel="1" x14ac:dyDescent="0.35">
      <c r="B188" s="94" t="s">
        <v>36</v>
      </c>
      <c r="M188" s="5"/>
      <c r="N188" s="5"/>
      <c r="O188" s="5"/>
      <c r="P188" s="5"/>
      <c r="Q188" s="5"/>
      <c r="R188" s="5"/>
      <c r="S188" s="5"/>
    </row>
    <row r="189" spans="1:19" outlineLevel="1" x14ac:dyDescent="0.35">
      <c r="A189" s="91" t="s">
        <v>76</v>
      </c>
      <c r="B189" s="94"/>
      <c r="C189" s="58" t="s">
        <v>94</v>
      </c>
      <c r="L189" s="67"/>
      <c r="M189" s="5"/>
      <c r="N189" s="5"/>
      <c r="O189" s="5"/>
      <c r="P189" s="5"/>
      <c r="Q189" s="5"/>
      <c r="R189" s="5"/>
      <c r="S189" s="5"/>
    </row>
    <row r="190" spans="1:19" outlineLevel="1" x14ac:dyDescent="0.35">
      <c r="B190" s="39"/>
      <c r="C190" s="6" t="s">
        <v>106</v>
      </c>
      <c r="E190" s="25">
        <v>12</v>
      </c>
      <c r="H190" s="42">
        <v>750</v>
      </c>
      <c r="I190" s="67">
        <f>+E190*H190</f>
        <v>9000</v>
      </c>
      <c r="J190" s="199">
        <f>H190</f>
        <v>750</v>
      </c>
      <c r="K190" s="67">
        <f>+E190*J190</f>
        <v>9000</v>
      </c>
      <c r="L190" s="79"/>
      <c r="M190" s="42">
        <f>H190</f>
        <v>750</v>
      </c>
      <c r="N190" s="67">
        <f>E190*M190</f>
        <v>9000</v>
      </c>
      <c r="O190" s="115"/>
      <c r="P190" s="5"/>
      <c r="Q190" s="5"/>
      <c r="R190" s="5"/>
      <c r="S190" s="5"/>
    </row>
    <row r="191" spans="1:19" outlineLevel="1" x14ac:dyDescent="0.35">
      <c r="B191" s="39"/>
      <c r="C191" s="17" t="s">
        <v>0</v>
      </c>
      <c r="F191" s="45">
        <v>290882.90000000002</v>
      </c>
      <c r="H191" s="43">
        <v>0.29920000000000002</v>
      </c>
      <c r="I191" s="79">
        <f>+F191*H191</f>
        <v>87032.163680000012</v>
      </c>
      <c r="J191" s="201">
        <f t="shared" ref="J191:J192" si="1">H191</f>
        <v>0.29920000000000002</v>
      </c>
      <c r="K191" s="79">
        <f>+F191*J191</f>
        <v>87032.163680000012</v>
      </c>
      <c r="L191" s="79"/>
      <c r="M191" s="241">
        <v>0.31</v>
      </c>
      <c r="N191" s="67">
        <f>F191*M191</f>
        <v>90173.699000000008</v>
      </c>
      <c r="O191" s="115"/>
      <c r="P191" s="5" t="s">
        <v>165</v>
      </c>
      <c r="Q191" s="5"/>
      <c r="R191" s="5"/>
      <c r="S191" s="5"/>
    </row>
    <row r="192" spans="1:19" outlineLevel="1" x14ac:dyDescent="0.35">
      <c r="B192" s="39"/>
      <c r="C192" s="102" t="s">
        <v>13</v>
      </c>
      <c r="F192" s="45">
        <v>198720.00220227966</v>
      </c>
      <c r="H192" s="43">
        <v>10.8978</v>
      </c>
      <c r="I192" s="69">
        <f>F192*H192</f>
        <v>2165610.8400000031</v>
      </c>
      <c r="J192" s="201">
        <f t="shared" si="1"/>
        <v>10.8978</v>
      </c>
      <c r="K192" s="69">
        <f>F192*J192</f>
        <v>2165610.8400000031</v>
      </c>
      <c r="L192" s="104"/>
      <c r="M192" s="231">
        <v>10.89</v>
      </c>
      <c r="N192" s="69">
        <f>F192*M192</f>
        <v>2164060.8239828255</v>
      </c>
      <c r="O192" s="115"/>
      <c r="P192" s="54">
        <f>SUM(K199,K235)</f>
        <v>2280567.2683010479</v>
      </c>
      <c r="Q192" s="54">
        <f>SUM(N199,N235)</f>
        <v>2280265.1229828256</v>
      </c>
      <c r="R192" s="5"/>
      <c r="S192" s="5"/>
    </row>
    <row r="193" spans="2:19" outlineLevel="1" x14ac:dyDescent="0.35">
      <c r="B193" s="39"/>
      <c r="C193" s="94" t="s">
        <v>153</v>
      </c>
      <c r="F193" s="103"/>
      <c r="H193" s="43"/>
      <c r="I193" s="104">
        <f>SUM(I190:I192)</f>
        <v>2261643.0036800033</v>
      </c>
      <c r="J193" s="104"/>
      <c r="K193" s="104">
        <f>SUM(K190:K192)</f>
        <v>2261643.0036800033</v>
      </c>
      <c r="L193" s="104"/>
      <c r="M193" s="5"/>
      <c r="N193" s="104">
        <f>SUM(N190:N192)</f>
        <v>2263234.5229828255</v>
      </c>
      <c r="O193" s="5"/>
      <c r="P193" s="5"/>
      <c r="Q193" s="5"/>
      <c r="R193" s="5"/>
      <c r="S193" s="5"/>
    </row>
    <row r="194" spans="2:19" outlineLevel="1" x14ac:dyDescent="0.35">
      <c r="B194" s="39"/>
      <c r="C194" s="37"/>
      <c r="F194" s="103"/>
      <c r="H194" s="43"/>
      <c r="I194" s="104"/>
      <c r="J194" s="104"/>
      <c r="K194" s="104"/>
      <c r="L194" s="104"/>
      <c r="M194" s="5"/>
      <c r="N194" s="104"/>
      <c r="O194" s="5"/>
      <c r="P194" s="5"/>
      <c r="Q194" s="5"/>
      <c r="R194" s="5"/>
      <c r="S194" s="5"/>
    </row>
    <row r="195" spans="2:19" outlineLevel="1" x14ac:dyDescent="0.35">
      <c r="B195" s="39"/>
      <c r="C195" s="37" t="s">
        <v>154</v>
      </c>
      <c r="F195" s="103"/>
      <c r="G195" s="38" t="s">
        <v>88</v>
      </c>
      <c r="H195" s="47">
        <v>1</v>
      </c>
      <c r="I195" s="104">
        <f>I193/H195</f>
        <v>2261643.0036800033</v>
      </c>
      <c r="J195" s="47">
        <v>1</v>
      </c>
      <c r="K195" s="104">
        <f>K193/J195</f>
        <v>2261643.0036800033</v>
      </c>
      <c r="L195" s="79"/>
      <c r="M195" s="70">
        <f>H195</f>
        <v>1</v>
      </c>
      <c r="N195" s="104">
        <f>N193/M195</f>
        <v>2263234.5229828255</v>
      </c>
      <c r="O195" s="5"/>
      <c r="P195" s="5"/>
      <c r="Q195" s="5"/>
      <c r="R195" s="5"/>
      <c r="S195" s="5"/>
    </row>
    <row r="196" spans="2:19" outlineLevel="1" x14ac:dyDescent="0.35">
      <c r="B196" s="39"/>
      <c r="C196" s="37"/>
      <c r="F196" s="103"/>
      <c r="G196" s="38"/>
      <c r="H196" s="47"/>
      <c r="I196" s="104"/>
      <c r="J196" s="47"/>
      <c r="K196" s="104"/>
      <c r="L196" s="79"/>
      <c r="M196" s="70"/>
      <c r="N196" s="104"/>
      <c r="O196" s="5"/>
      <c r="P196" s="5"/>
      <c r="Q196" s="5"/>
      <c r="R196" s="5"/>
      <c r="S196" s="5"/>
    </row>
    <row r="197" spans="2:19" outlineLevel="1" x14ac:dyDescent="0.35">
      <c r="B197" s="39"/>
      <c r="C197" s="17" t="s">
        <v>158</v>
      </c>
      <c r="F197" s="103"/>
      <c r="G197" s="38"/>
      <c r="H197" s="47"/>
      <c r="I197" s="104"/>
      <c r="J197" s="47"/>
      <c r="K197" s="79"/>
      <c r="L197" s="79"/>
      <c r="M197" s="70"/>
      <c r="N197" s="79"/>
      <c r="O197" s="5"/>
      <c r="P197" s="5"/>
      <c r="Q197" s="5"/>
      <c r="R197" s="5"/>
      <c r="S197" s="5"/>
    </row>
    <row r="198" spans="2:19" outlineLevel="1" x14ac:dyDescent="0.35">
      <c r="B198" s="39"/>
      <c r="F198" s="103"/>
      <c r="H198" s="105"/>
      <c r="I198" s="79"/>
      <c r="J198" s="79"/>
      <c r="K198" s="79"/>
      <c r="L198" s="79"/>
      <c r="M198" s="5"/>
      <c r="N198" s="67"/>
      <c r="O198" s="5"/>
      <c r="P198" s="5"/>
      <c r="Q198" s="5"/>
      <c r="R198" s="5"/>
      <c r="S198" s="5"/>
    </row>
    <row r="199" spans="2:19" ht="16" outlineLevel="1" thickBot="1" x14ac:dyDescent="0.4">
      <c r="C199" s="37" t="s">
        <v>163</v>
      </c>
      <c r="F199" s="49"/>
      <c r="I199" s="51">
        <f>I195+I197</f>
        <v>2261643.0036800033</v>
      </c>
      <c r="K199" s="51">
        <f>K195+K197</f>
        <v>2261643.0036800033</v>
      </c>
      <c r="M199" s="5"/>
      <c r="N199" s="51">
        <f>N195+N197</f>
        <v>2263234.5229828255</v>
      </c>
      <c r="Q199" s="5"/>
      <c r="R199" s="5"/>
      <c r="S199" s="5"/>
    </row>
    <row r="200" spans="2:19" ht="16" outlineLevel="1" thickTop="1" x14ac:dyDescent="0.35">
      <c r="F200" s="49"/>
      <c r="M200" s="5"/>
      <c r="N200" s="5"/>
      <c r="Q200" s="5"/>
      <c r="R200" s="5"/>
      <c r="S200" s="5"/>
    </row>
    <row r="201" spans="2:19" outlineLevel="1" x14ac:dyDescent="0.35">
      <c r="B201" s="39"/>
      <c r="C201" s="46" t="s">
        <v>34</v>
      </c>
      <c r="F201" s="103"/>
      <c r="H201" s="105"/>
      <c r="I201" s="79">
        <v>953711.90882290469</v>
      </c>
      <c r="J201" s="79"/>
      <c r="K201" s="79">
        <v>953711.90882290469</v>
      </c>
      <c r="L201" s="79"/>
      <c r="M201" s="5"/>
      <c r="N201" s="67">
        <f>I201</f>
        <v>953711.90882290469</v>
      </c>
      <c r="O201" s="5"/>
      <c r="P201" s="5"/>
      <c r="Q201" s="5"/>
      <c r="R201" s="5"/>
      <c r="S201" s="5"/>
    </row>
    <row r="202" spans="2:19" outlineLevel="1" x14ac:dyDescent="0.35">
      <c r="B202" s="39"/>
      <c r="C202" s="46" t="s">
        <v>35</v>
      </c>
      <c r="F202" s="103"/>
      <c r="H202" s="105"/>
      <c r="I202" s="79">
        <v>0</v>
      </c>
      <c r="J202" s="79"/>
      <c r="K202" s="79">
        <v>0</v>
      </c>
      <c r="L202" s="79"/>
      <c r="M202" s="5"/>
      <c r="N202" s="67">
        <f>I202</f>
        <v>0</v>
      </c>
      <c r="O202" s="5"/>
      <c r="P202" s="5"/>
      <c r="Q202" s="5"/>
      <c r="R202" s="5"/>
      <c r="S202" s="5"/>
    </row>
    <row r="203" spans="2:19" outlineLevel="1" x14ac:dyDescent="0.35">
      <c r="B203" s="39"/>
      <c r="C203" s="46" t="s">
        <v>31</v>
      </c>
      <c r="F203" s="103"/>
      <c r="H203" s="105"/>
      <c r="I203" s="79">
        <v>0</v>
      </c>
      <c r="J203" s="79"/>
      <c r="K203" s="79">
        <v>0</v>
      </c>
      <c r="L203" s="79"/>
      <c r="M203" s="5"/>
      <c r="N203" s="67">
        <f>K203</f>
        <v>0</v>
      </c>
      <c r="O203" s="5"/>
      <c r="P203" s="5"/>
      <c r="Q203" s="5"/>
      <c r="R203" s="5"/>
      <c r="S203" s="5"/>
    </row>
    <row r="204" spans="2:19" outlineLevel="1" x14ac:dyDescent="0.35">
      <c r="B204" s="39"/>
      <c r="C204" s="46"/>
      <c r="F204" s="103"/>
      <c r="H204" s="105"/>
      <c r="I204" s="79"/>
      <c r="J204" s="79"/>
      <c r="K204" s="79"/>
      <c r="L204" s="104"/>
      <c r="M204" s="5"/>
      <c r="N204" s="67"/>
      <c r="O204" s="108"/>
      <c r="P204" s="71"/>
      <c r="Q204" s="5"/>
      <c r="R204" s="5"/>
      <c r="S204" s="5"/>
    </row>
    <row r="205" spans="2:19" ht="16" outlineLevel="1" thickBot="1" x14ac:dyDescent="0.4">
      <c r="B205" s="94" t="s">
        <v>152</v>
      </c>
      <c r="C205" s="106"/>
      <c r="F205" s="103"/>
      <c r="H205" s="105"/>
      <c r="I205" s="107">
        <f>SUM(I199:I203)</f>
        <v>3215354.9125029081</v>
      </c>
      <c r="J205" s="104"/>
      <c r="K205" s="107">
        <f>SUM(K199:K203)</f>
        <v>3215354.9125029081</v>
      </c>
      <c r="L205" s="104"/>
      <c r="M205" s="5"/>
      <c r="N205" s="107">
        <f>SUM(N199:N203)</f>
        <v>3216946.4318057303</v>
      </c>
      <c r="O205" s="108"/>
      <c r="P205" s="71"/>
      <c r="Q205" s="5"/>
      <c r="R205" s="5"/>
      <c r="S205" s="5"/>
    </row>
    <row r="206" spans="2:19" ht="16" outlineLevel="1" thickTop="1" x14ac:dyDescent="0.35">
      <c r="B206" s="39"/>
      <c r="C206" s="106"/>
      <c r="F206" s="103"/>
      <c r="H206" s="105"/>
      <c r="I206" s="104"/>
      <c r="J206" s="104"/>
      <c r="K206" s="104"/>
      <c r="L206" s="104"/>
      <c r="M206" s="5"/>
      <c r="N206" s="67"/>
      <c r="O206" s="108"/>
      <c r="P206" s="71"/>
      <c r="Q206" s="5"/>
      <c r="R206" s="5"/>
      <c r="S206" s="5"/>
    </row>
    <row r="207" spans="2:19" outlineLevel="1" x14ac:dyDescent="0.35">
      <c r="B207" s="39"/>
      <c r="C207" s="46" t="s">
        <v>198</v>
      </c>
      <c r="F207" s="103"/>
      <c r="H207" s="105"/>
      <c r="I207" s="104"/>
      <c r="J207" s="104"/>
      <c r="K207" s="104"/>
      <c r="L207" s="104"/>
      <c r="M207" s="5"/>
      <c r="N207" s="67">
        <f>N205-I205</f>
        <v>1591.5193028221838</v>
      </c>
      <c r="O207" s="239">
        <v>0</v>
      </c>
      <c r="P207" s="71" t="s">
        <v>199</v>
      </c>
      <c r="Q207" s="5"/>
      <c r="R207" s="5"/>
      <c r="S207" s="5"/>
    </row>
    <row r="208" spans="2:19" outlineLevel="1" x14ac:dyDescent="0.35">
      <c r="B208" s="39"/>
      <c r="C208" s="106"/>
      <c r="F208" s="103"/>
      <c r="H208" s="105"/>
      <c r="I208" s="104"/>
      <c r="J208" s="104"/>
      <c r="K208" s="104"/>
      <c r="L208" s="79"/>
      <c r="M208" s="5"/>
      <c r="N208" s="109">
        <f>N207/I205</f>
        <v>4.9497469054926428E-4</v>
      </c>
      <c r="O208" s="71">
        <f>N207-O207</f>
        <v>1591.5193028221838</v>
      </c>
      <c r="P208" s="5"/>
      <c r="Q208" s="5"/>
      <c r="R208" s="5"/>
      <c r="S208" s="5"/>
    </row>
    <row r="209" spans="1:19" outlineLevel="1" x14ac:dyDescent="0.35">
      <c r="A209" s="6" t="s">
        <v>52</v>
      </c>
      <c r="B209" s="39"/>
      <c r="C209" s="46"/>
      <c r="F209" s="103"/>
      <c r="H209" s="105"/>
      <c r="I209" s="79"/>
      <c r="J209" s="79"/>
      <c r="K209" s="79"/>
      <c r="M209" s="5"/>
      <c r="N209" s="121"/>
      <c r="O209" s="5"/>
      <c r="P209" s="5"/>
      <c r="Q209" s="5"/>
      <c r="R209" s="5"/>
      <c r="S209" s="5"/>
    </row>
    <row r="210" spans="1:19" outlineLevel="1" x14ac:dyDescent="0.35">
      <c r="B210" s="36" t="s">
        <v>60</v>
      </c>
      <c r="M210" s="5"/>
      <c r="N210" s="5"/>
      <c r="O210" s="5"/>
      <c r="P210" s="5"/>
      <c r="Q210" s="5"/>
      <c r="R210" s="5"/>
      <c r="S210" s="5"/>
    </row>
    <row r="211" spans="1:19" outlineLevel="1" x14ac:dyDescent="0.35">
      <c r="M211" s="5"/>
      <c r="N211" s="5"/>
      <c r="O211" s="5"/>
      <c r="P211" s="5"/>
      <c r="Q211" s="5"/>
      <c r="R211" s="5"/>
      <c r="S211" s="5"/>
    </row>
    <row r="212" spans="1:19" outlineLevel="1" x14ac:dyDescent="0.35">
      <c r="B212" s="33" t="s">
        <v>121</v>
      </c>
      <c r="C212" s="110"/>
      <c r="L212" s="6"/>
      <c r="M212" s="5"/>
      <c r="N212" s="5"/>
      <c r="O212" s="5"/>
      <c r="P212" s="5"/>
      <c r="Q212" s="5"/>
      <c r="R212" s="5"/>
      <c r="S212" s="5"/>
    </row>
    <row r="213" spans="1:19" outlineLevel="1" x14ac:dyDescent="0.35">
      <c r="B213" s="37"/>
      <c r="C213" s="58" t="s">
        <v>94</v>
      </c>
      <c r="E213" s="6"/>
      <c r="H213" s="6"/>
      <c r="I213" s="6"/>
      <c r="J213" s="6"/>
      <c r="K213" s="6"/>
      <c r="L213" s="67"/>
      <c r="M213" s="6"/>
      <c r="O213" s="5"/>
      <c r="P213" s="5"/>
      <c r="Q213" s="5"/>
      <c r="R213" s="5"/>
      <c r="S213" s="5"/>
    </row>
    <row r="214" spans="1:19" outlineLevel="1" x14ac:dyDescent="0.35">
      <c r="B214" s="37"/>
      <c r="C214" s="55" t="s">
        <v>108</v>
      </c>
      <c r="E214" s="45">
        <v>24</v>
      </c>
      <c r="H214" s="42">
        <v>165</v>
      </c>
      <c r="I214" s="67">
        <f>+E214*H214</f>
        <v>3960</v>
      </c>
      <c r="J214" s="199">
        <f>H214</f>
        <v>165</v>
      </c>
      <c r="K214" s="67">
        <f>+E214*J214</f>
        <v>3960</v>
      </c>
      <c r="L214" s="67"/>
      <c r="M214" s="42">
        <f>H214</f>
        <v>165</v>
      </c>
      <c r="N214" s="67">
        <f>E214*M214</f>
        <v>3960</v>
      </c>
      <c r="O214" s="115"/>
      <c r="P214" s="5"/>
      <c r="Q214" s="5"/>
      <c r="R214" s="5"/>
      <c r="S214" s="5"/>
    </row>
    <row r="215" spans="1:19" outlineLevel="1" x14ac:dyDescent="0.35">
      <c r="B215" s="37"/>
      <c r="C215" s="55" t="s">
        <v>109</v>
      </c>
      <c r="E215" s="45">
        <v>0</v>
      </c>
      <c r="H215" s="42">
        <v>750</v>
      </c>
      <c r="I215" s="67">
        <f>E215*H215</f>
        <v>0</v>
      </c>
      <c r="J215" s="199">
        <f>H215</f>
        <v>750</v>
      </c>
      <c r="K215" s="67">
        <f>E215*J215</f>
        <v>0</v>
      </c>
      <c r="L215" s="67"/>
      <c r="M215" s="42">
        <f t="shared" ref="M215" si="2">H215</f>
        <v>750</v>
      </c>
      <c r="N215" s="67">
        <f>E215*M215</f>
        <v>0</v>
      </c>
      <c r="O215" s="115"/>
      <c r="P215" s="5"/>
      <c r="Q215" s="5"/>
      <c r="R215" s="5"/>
      <c r="S215" s="5"/>
    </row>
    <row r="216" spans="1:19" outlineLevel="1" x14ac:dyDescent="0.35">
      <c r="C216" s="17" t="s">
        <v>0</v>
      </c>
      <c r="F216" s="45">
        <v>8.4</v>
      </c>
      <c r="H216" s="43">
        <v>0.29919999999999997</v>
      </c>
      <c r="I216" s="67">
        <f>ROUND(+F216*H216,2)</f>
        <v>2.5099999999999998</v>
      </c>
      <c r="J216" s="201">
        <f>H216</f>
        <v>0.29919999999999997</v>
      </c>
      <c r="K216" s="67">
        <f>ROUND(+F216*J216,2)</f>
        <v>2.5099999999999998</v>
      </c>
      <c r="L216" s="67"/>
      <c r="M216" s="43">
        <f>M191</f>
        <v>0.31</v>
      </c>
      <c r="N216" s="67">
        <f>ROUND(F216*M216,2)</f>
        <v>2.6</v>
      </c>
      <c r="O216" s="115"/>
      <c r="P216" s="5"/>
      <c r="Q216" s="5"/>
      <c r="R216" s="5"/>
      <c r="S216" s="5"/>
    </row>
    <row r="217" spans="1:19" outlineLevel="1" x14ac:dyDescent="0.35">
      <c r="C217" s="68" t="s">
        <v>13</v>
      </c>
      <c r="F217" s="45">
        <v>1200</v>
      </c>
      <c r="H217" s="43">
        <v>10.8978</v>
      </c>
      <c r="I217" s="69">
        <f>+F217*H217</f>
        <v>13077.36</v>
      </c>
      <c r="J217" s="202">
        <f>H217</f>
        <v>10.8978</v>
      </c>
      <c r="K217" s="69">
        <f>+F217*J217</f>
        <v>13077.36</v>
      </c>
      <c r="L217" s="67"/>
      <c r="M217" s="75">
        <f>M192</f>
        <v>10.89</v>
      </c>
      <c r="N217" s="69">
        <f>F217*M217</f>
        <v>13068</v>
      </c>
      <c r="O217" s="115"/>
      <c r="P217" s="5"/>
      <c r="Q217" s="5"/>
      <c r="R217" s="5"/>
      <c r="S217" s="5"/>
    </row>
    <row r="218" spans="1:19" outlineLevel="1" x14ac:dyDescent="0.35">
      <c r="C218" s="94" t="s">
        <v>153</v>
      </c>
      <c r="F218" s="97"/>
      <c r="H218" s="43"/>
      <c r="I218" s="99">
        <f>SUM(I214:I217)</f>
        <v>17039.870000000003</v>
      </c>
      <c r="J218" s="99"/>
      <c r="K218" s="99">
        <f>SUM(K214:K217)</f>
        <v>17039.870000000003</v>
      </c>
      <c r="L218" s="67"/>
      <c r="M218" s="43"/>
      <c r="N218" s="99">
        <f>SUM(N214:N217)</f>
        <v>17030.599999999999</v>
      </c>
      <c r="O218" s="5"/>
      <c r="P218" s="5"/>
      <c r="Q218" s="5"/>
      <c r="R218" s="5"/>
      <c r="S218" s="5"/>
    </row>
    <row r="219" spans="1:19" outlineLevel="1" x14ac:dyDescent="0.35">
      <c r="C219" s="37"/>
      <c r="F219" s="97"/>
      <c r="H219" s="43"/>
      <c r="I219" s="67"/>
      <c r="J219" s="67"/>
      <c r="K219" s="67"/>
      <c r="L219" s="67"/>
      <c r="M219" s="43"/>
      <c r="N219" s="67"/>
      <c r="O219" s="5"/>
      <c r="P219" s="5"/>
      <c r="Q219" s="5"/>
      <c r="R219" s="5"/>
      <c r="S219" s="5"/>
    </row>
    <row r="220" spans="1:19" outlineLevel="1" x14ac:dyDescent="0.35">
      <c r="C220" s="37" t="s">
        <v>154</v>
      </c>
      <c r="F220" s="97"/>
      <c r="G220" s="38" t="s">
        <v>88</v>
      </c>
      <c r="H220" s="47">
        <v>1</v>
      </c>
      <c r="I220" s="99">
        <f>I218/H220</f>
        <v>17039.870000000003</v>
      </c>
      <c r="J220" s="47">
        <v>1</v>
      </c>
      <c r="K220" s="99">
        <f>K218/J220</f>
        <v>17039.870000000003</v>
      </c>
      <c r="L220" s="67"/>
      <c r="M220" s="98">
        <f>H220</f>
        <v>1</v>
      </c>
      <c r="N220" s="99">
        <f>N218/M220</f>
        <v>17030.599999999999</v>
      </c>
      <c r="O220" s="5"/>
      <c r="P220" s="5"/>
      <c r="Q220" s="5"/>
      <c r="R220" s="5"/>
      <c r="S220" s="5"/>
    </row>
    <row r="221" spans="1:19" outlineLevel="1" x14ac:dyDescent="0.35">
      <c r="A221" s="6" t="s">
        <v>92</v>
      </c>
      <c r="C221" s="37"/>
      <c r="F221" s="97"/>
      <c r="G221" s="38"/>
      <c r="H221" s="47"/>
      <c r="I221" s="99"/>
      <c r="J221" s="99"/>
      <c r="K221" s="99"/>
      <c r="L221" s="67"/>
      <c r="M221" s="98"/>
      <c r="N221" s="99"/>
      <c r="O221" s="5"/>
      <c r="P221" s="5"/>
      <c r="Q221" s="5"/>
      <c r="R221" s="5"/>
      <c r="S221" s="5"/>
    </row>
    <row r="222" spans="1:19" outlineLevel="1" x14ac:dyDescent="0.35">
      <c r="B222" s="33" t="s">
        <v>122</v>
      </c>
      <c r="F222" s="97"/>
      <c r="G222" s="38"/>
      <c r="H222" s="47"/>
      <c r="I222" s="99"/>
      <c r="J222" s="99"/>
      <c r="K222" s="99"/>
      <c r="L222" s="67"/>
      <c r="M222" s="98"/>
      <c r="N222" s="99"/>
      <c r="O222" s="5"/>
      <c r="P222" s="5"/>
      <c r="Q222" s="5"/>
      <c r="R222" s="5"/>
      <c r="S222" s="5"/>
    </row>
    <row r="223" spans="1:19" outlineLevel="1" x14ac:dyDescent="0.35">
      <c r="B223" s="33"/>
      <c r="C223" s="17" t="s">
        <v>22</v>
      </c>
      <c r="E223" s="45">
        <v>0</v>
      </c>
      <c r="F223" s="97"/>
      <c r="G223" s="38"/>
      <c r="H223" s="224">
        <v>550</v>
      </c>
      <c r="I223" s="99">
        <f>E223*H223</f>
        <v>0</v>
      </c>
      <c r="J223" s="199">
        <f>H223</f>
        <v>550</v>
      </c>
      <c r="K223" s="99">
        <f>E223*J223</f>
        <v>0</v>
      </c>
      <c r="L223" s="67"/>
      <c r="M223" s="203">
        <f>H223</f>
        <v>550</v>
      </c>
      <c r="N223" s="99">
        <f>E223*M223</f>
        <v>0</v>
      </c>
      <c r="O223" s="5"/>
      <c r="P223" s="5"/>
      <c r="Q223" s="5"/>
      <c r="R223" s="5"/>
      <c r="S223" s="5"/>
    </row>
    <row r="224" spans="1:19" outlineLevel="1" x14ac:dyDescent="0.35">
      <c r="B224" s="33"/>
      <c r="C224" s="58" t="s">
        <v>94</v>
      </c>
      <c r="F224" s="97"/>
      <c r="G224" s="38"/>
      <c r="H224" s="47"/>
      <c r="I224" s="99"/>
      <c r="J224" s="99"/>
      <c r="K224" s="99"/>
      <c r="L224" s="67"/>
      <c r="M224" s="98"/>
      <c r="N224" s="99"/>
      <c r="O224" s="5"/>
      <c r="P224" s="5"/>
      <c r="Q224" s="5"/>
      <c r="R224" s="5"/>
      <c r="S224" s="5"/>
    </row>
    <row r="225" spans="1:19" outlineLevel="1" x14ac:dyDescent="0.35">
      <c r="B225" s="33"/>
      <c r="C225" s="55" t="s">
        <v>108</v>
      </c>
      <c r="E225" s="45">
        <v>0</v>
      </c>
      <c r="F225" s="97"/>
      <c r="G225" s="38"/>
      <c r="H225" s="111">
        <f>H214</f>
        <v>165</v>
      </c>
      <c r="I225" s="67">
        <f>E225*H225</f>
        <v>0</v>
      </c>
      <c r="J225" s="199">
        <f>H225</f>
        <v>165</v>
      </c>
      <c r="K225" s="67">
        <f>E225*J225</f>
        <v>0</v>
      </c>
      <c r="L225" s="67"/>
      <c r="M225" s="112">
        <f>M214</f>
        <v>165</v>
      </c>
      <c r="N225" s="67">
        <f>E225*M225</f>
        <v>0</v>
      </c>
      <c r="O225" s="5"/>
      <c r="P225" s="5"/>
      <c r="Q225" s="5"/>
      <c r="R225" s="5"/>
      <c r="S225" s="5"/>
    </row>
    <row r="226" spans="1:19" outlineLevel="1" x14ac:dyDescent="0.35">
      <c r="B226" s="33"/>
      <c r="C226" s="55" t="s">
        <v>109</v>
      </c>
      <c r="E226" s="45">
        <v>0</v>
      </c>
      <c r="F226" s="97"/>
      <c r="G226" s="38"/>
      <c r="H226" s="111">
        <f>H215</f>
        <v>750</v>
      </c>
      <c r="I226" s="67">
        <f>E226*H226</f>
        <v>0</v>
      </c>
      <c r="J226" s="199">
        <f>H226</f>
        <v>750</v>
      </c>
      <c r="K226" s="67">
        <f>E226*J226</f>
        <v>0</v>
      </c>
      <c r="L226" s="67"/>
      <c r="M226" s="112">
        <f>M215</f>
        <v>750</v>
      </c>
      <c r="N226" s="67">
        <f>E226*M226</f>
        <v>0</v>
      </c>
      <c r="O226" s="5"/>
      <c r="P226" s="5"/>
      <c r="Q226" s="5"/>
      <c r="R226" s="5"/>
      <c r="S226" s="5"/>
    </row>
    <row r="227" spans="1:19" outlineLevel="1" x14ac:dyDescent="0.35">
      <c r="B227" s="33"/>
      <c r="C227" s="17" t="s">
        <v>0</v>
      </c>
      <c r="F227" s="45">
        <v>0</v>
      </c>
      <c r="G227" s="38"/>
      <c r="H227" s="113">
        <f>H216</f>
        <v>0.29919999999999997</v>
      </c>
      <c r="I227" s="67">
        <f>F227*H227</f>
        <v>0</v>
      </c>
      <c r="J227" s="201">
        <f>H227</f>
        <v>0.29919999999999997</v>
      </c>
      <c r="K227" s="67">
        <f>F227*J227</f>
        <v>0</v>
      </c>
      <c r="L227" s="67"/>
      <c r="M227" s="196">
        <f>M216</f>
        <v>0.31</v>
      </c>
      <c r="N227" s="67">
        <f>F227*M227</f>
        <v>0</v>
      </c>
      <c r="O227" s="5"/>
      <c r="P227" s="5"/>
      <c r="Q227" s="5"/>
      <c r="R227" s="5"/>
      <c r="S227" s="5"/>
    </row>
    <row r="228" spans="1:19" outlineLevel="1" x14ac:dyDescent="0.35">
      <c r="B228" s="33"/>
      <c r="C228" s="68" t="s">
        <v>13</v>
      </c>
      <c r="F228" s="45">
        <v>0</v>
      </c>
      <c r="G228" s="38"/>
      <c r="H228" s="113">
        <f>H217</f>
        <v>10.8978</v>
      </c>
      <c r="I228" s="69">
        <f>F228*H228</f>
        <v>0</v>
      </c>
      <c r="J228" s="202">
        <f>H228</f>
        <v>10.8978</v>
      </c>
      <c r="K228" s="69">
        <f>F228*J228</f>
        <v>0</v>
      </c>
      <c r="L228" s="67"/>
      <c r="M228" s="112">
        <f>M217</f>
        <v>10.89</v>
      </c>
      <c r="N228" s="69">
        <f>F228*M228</f>
        <v>0</v>
      </c>
      <c r="O228" s="5"/>
      <c r="P228" s="5"/>
      <c r="Q228" s="5"/>
      <c r="R228" s="5"/>
      <c r="S228" s="5"/>
    </row>
    <row r="229" spans="1:19" outlineLevel="1" x14ac:dyDescent="0.35">
      <c r="B229" s="33"/>
      <c r="C229" s="37" t="s">
        <v>153</v>
      </c>
      <c r="F229" s="97"/>
      <c r="G229" s="38"/>
      <c r="H229" s="47"/>
      <c r="I229" s="99">
        <f>SUM(I223:I228)</f>
        <v>0</v>
      </c>
      <c r="J229" s="99"/>
      <c r="K229" s="99">
        <f>SUM(K223:K228)</f>
        <v>0</v>
      </c>
      <c r="L229" s="67"/>
      <c r="M229" s="98"/>
      <c r="N229" s="99">
        <f>SUM(N223:N228)</f>
        <v>0</v>
      </c>
      <c r="O229" s="5"/>
      <c r="P229" s="5"/>
      <c r="Q229" s="5"/>
      <c r="R229" s="5"/>
      <c r="S229" s="5"/>
    </row>
    <row r="230" spans="1:19" outlineLevel="1" x14ac:dyDescent="0.35">
      <c r="B230" s="33"/>
      <c r="F230" s="97"/>
      <c r="G230" s="38"/>
      <c r="H230" s="47"/>
      <c r="I230" s="99"/>
      <c r="J230" s="99"/>
      <c r="K230" s="99"/>
      <c r="L230" s="67"/>
      <c r="M230" s="98"/>
      <c r="N230" s="67"/>
      <c r="O230" s="5"/>
      <c r="P230" s="5"/>
      <c r="Q230" s="5"/>
      <c r="R230" s="5"/>
      <c r="S230" s="5"/>
    </row>
    <row r="231" spans="1:19" outlineLevel="1" x14ac:dyDescent="0.35">
      <c r="B231" s="33"/>
      <c r="C231" s="37" t="s">
        <v>154</v>
      </c>
      <c r="F231" s="97"/>
      <c r="G231" s="38" t="s">
        <v>88</v>
      </c>
      <c r="H231" s="47">
        <v>0</v>
      </c>
      <c r="I231" s="99">
        <f>IF(H231=0,0,I229/H231)</f>
        <v>0</v>
      </c>
      <c r="J231" s="47">
        <v>0</v>
      </c>
      <c r="K231" s="99">
        <f>IF(J231=0,0,K229/J231)</f>
        <v>0</v>
      </c>
      <c r="L231" s="67"/>
      <c r="M231" s="98">
        <v>0</v>
      </c>
      <c r="N231" s="99">
        <f>IF(M231=0,0,N229/M231)</f>
        <v>0</v>
      </c>
      <c r="O231" s="5"/>
      <c r="P231" s="5"/>
      <c r="Q231" s="5"/>
      <c r="R231" s="5"/>
      <c r="S231" s="5"/>
    </row>
    <row r="232" spans="1:19" outlineLevel="1" x14ac:dyDescent="0.35">
      <c r="B232" s="33"/>
      <c r="C232" s="37"/>
      <c r="F232" s="97"/>
      <c r="G232" s="38"/>
      <c r="H232" s="47"/>
      <c r="I232" s="99"/>
      <c r="J232" s="47"/>
      <c r="K232" s="99"/>
      <c r="L232" s="67"/>
      <c r="M232" s="98"/>
      <c r="N232" s="99"/>
      <c r="O232" s="5"/>
      <c r="P232" s="5"/>
      <c r="Q232" s="5"/>
      <c r="R232" s="5"/>
      <c r="S232" s="5"/>
    </row>
    <row r="233" spans="1:19" outlineLevel="1" x14ac:dyDescent="0.35">
      <c r="B233" s="33"/>
      <c r="C233" s="17" t="s">
        <v>158</v>
      </c>
      <c r="F233" s="97"/>
      <c r="G233" s="38"/>
      <c r="H233" s="47"/>
      <c r="I233" s="99"/>
      <c r="J233" s="47"/>
      <c r="K233" s="67">
        <f>I239-K239</f>
        <v>1884.3946210446152</v>
      </c>
      <c r="L233" s="67"/>
      <c r="M233" s="98"/>
      <c r="N233" s="41"/>
      <c r="O233" s="5"/>
      <c r="P233" s="5"/>
      <c r="Q233" s="5"/>
      <c r="R233" s="5"/>
      <c r="S233" s="5"/>
    </row>
    <row r="234" spans="1:19" outlineLevel="1" x14ac:dyDescent="0.35">
      <c r="F234" s="97"/>
      <c r="H234" s="43"/>
      <c r="I234" s="67"/>
      <c r="J234" s="67"/>
      <c r="K234" s="67"/>
      <c r="L234" s="42"/>
      <c r="M234" s="43"/>
      <c r="N234" s="67"/>
      <c r="O234" s="5"/>
      <c r="P234" s="5"/>
      <c r="Q234" s="5"/>
      <c r="R234" s="5"/>
      <c r="S234" s="5"/>
    </row>
    <row r="235" spans="1:19" ht="16" outlineLevel="1" thickBot="1" x14ac:dyDescent="0.4">
      <c r="C235" s="37" t="s">
        <v>163</v>
      </c>
      <c r="F235" s="49"/>
      <c r="I235" s="51">
        <f>I220+I231+I233</f>
        <v>17039.870000000003</v>
      </c>
      <c r="K235" s="51">
        <f>K220+K231+K233</f>
        <v>18924.264621044618</v>
      </c>
      <c r="M235" s="5"/>
      <c r="N235" s="51">
        <f>N220+N231+N233</f>
        <v>17030.599999999999</v>
      </c>
      <c r="Q235" s="5"/>
      <c r="R235" s="5"/>
      <c r="S235" s="5"/>
    </row>
    <row r="236" spans="1:19" ht="16" outlineLevel="1" thickTop="1" x14ac:dyDescent="0.35">
      <c r="F236" s="49"/>
      <c r="M236" s="5"/>
      <c r="N236" s="5"/>
      <c r="Q236" s="5"/>
      <c r="R236" s="5"/>
      <c r="S236" s="5"/>
    </row>
    <row r="237" spans="1:19" outlineLevel="1" x14ac:dyDescent="0.35">
      <c r="C237" s="17" t="s">
        <v>34</v>
      </c>
      <c r="F237" s="103"/>
      <c r="H237" s="6"/>
      <c r="I237" s="79">
        <v>27.255393148949402</v>
      </c>
      <c r="J237" s="79"/>
      <c r="K237" s="79">
        <v>27.255393148949402</v>
      </c>
      <c r="L237" s="42"/>
      <c r="M237" s="5"/>
      <c r="N237" s="79">
        <f>I237</f>
        <v>27.255393148949402</v>
      </c>
      <c r="O237" s="5"/>
      <c r="P237" s="5"/>
      <c r="Q237" s="5"/>
      <c r="R237" s="5"/>
      <c r="S237" s="5"/>
    </row>
    <row r="238" spans="1:19" outlineLevel="1" x14ac:dyDescent="0.35">
      <c r="C238" s="17" t="s">
        <v>35</v>
      </c>
      <c r="H238" s="6"/>
      <c r="I238" s="79">
        <v>0</v>
      </c>
      <c r="J238" s="79"/>
      <c r="K238" s="79">
        <v>0</v>
      </c>
      <c r="L238" s="42"/>
      <c r="M238" s="5"/>
      <c r="N238" s="79">
        <f>I238</f>
        <v>0</v>
      </c>
      <c r="O238" s="5"/>
      <c r="P238" s="5"/>
      <c r="Q238" s="5"/>
      <c r="R238" s="5"/>
      <c r="S238" s="5"/>
    </row>
    <row r="239" spans="1:19" outlineLevel="1" x14ac:dyDescent="0.35">
      <c r="C239" s="17" t="s">
        <v>31</v>
      </c>
      <c r="H239" s="6"/>
      <c r="I239" s="79">
        <v>2856.186261404262</v>
      </c>
      <c r="J239" s="79"/>
      <c r="K239" s="79">
        <v>971.79164035964698</v>
      </c>
      <c r="L239" s="42"/>
      <c r="M239" s="5"/>
      <c r="N239" s="79">
        <f>K239</f>
        <v>971.79164035964698</v>
      </c>
      <c r="O239" s="5"/>
      <c r="P239" s="5"/>
      <c r="Q239" s="5"/>
      <c r="R239" s="5"/>
      <c r="S239" s="5"/>
    </row>
    <row r="240" spans="1:19" outlineLevel="1" x14ac:dyDescent="0.35">
      <c r="A240" s="6" t="s">
        <v>95</v>
      </c>
      <c r="H240" s="6"/>
      <c r="I240" s="79"/>
      <c r="J240" s="79"/>
      <c r="K240" s="79"/>
      <c r="L240" s="52"/>
      <c r="M240" s="5"/>
      <c r="N240" s="79"/>
      <c r="O240" s="5"/>
      <c r="P240" s="5"/>
      <c r="Q240" s="5"/>
      <c r="R240" s="5"/>
      <c r="S240" s="5"/>
    </row>
    <row r="241" spans="1:19" outlineLevel="1" x14ac:dyDescent="0.35">
      <c r="B241" s="36" t="s">
        <v>71</v>
      </c>
      <c r="I241" s="52"/>
      <c r="J241" s="52"/>
      <c r="K241" s="52"/>
      <c r="L241" s="78"/>
      <c r="M241" s="5"/>
      <c r="N241" s="52"/>
      <c r="O241" s="5"/>
      <c r="P241" s="5"/>
      <c r="Q241" s="5"/>
      <c r="R241" s="5"/>
      <c r="S241" s="5"/>
    </row>
    <row r="242" spans="1:19" outlineLevel="1" x14ac:dyDescent="0.35">
      <c r="B242" s="37"/>
      <c r="C242" s="17" t="s">
        <v>61</v>
      </c>
      <c r="E242" s="45">
        <v>0</v>
      </c>
      <c r="H242" s="177">
        <v>75</v>
      </c>
      <c r="I242" s="78">
        <f>E242*H242</f>
        <v>0</v>
      </c>
      <c r="J242" s="83">
        <f>H242</f>
        <v>75</v>
      </c>
      <c r="K242" s="78">
        <f>E242*J242</f>
        <v>0</v>
      </c>
      <c r="L242" s="6"/>
      <c r="M242" s="177">
        <f>H242</f>
        <v>75</v>
      </c>
      <c r="N242" s="79">
        <f>E242*M242</f>
        <v>0</v>
      </c>
      <c r="O242" s="5"/>
      <c r="P242" s="5"/>
      <c r="Q242" s="5"/>
      <c r="R242" s="5"/>
      <c r="S242" s="5"/>
    </row>
    <row r="243" spans="1:19" outlineLevel="1" x14ac:dyDescent="0.35">
      <c r="D243" s="85"/>
      <c r="E243" s="95"/>
      <c r="F243" s="95"/>
      <c r="G243" s="50"/>
      <c r="H243" s="6"/>
      <c r="I243" s="6"/>
      <c r="J243" s="6"/>
      <c r="K243" s="6"/>
      <c r="L243" s="52"/>
      <c r="M243" s="5"/>
      <c r="N243" s="67"/>
      <c r="O243" s="5"/>
      <c r="P243" s="5" t="s">
        <v>166</v>
      </c>
      <c r="Q243" s="5"/>
      <c r="R243" s="5"/>
      <c r="S243" s="5"/>
    </row>
    <row r="244" spans="1:19" ht="16" outlineLevel="1" thickBot="1" x14ac:dyDescent="0.4">
      <c r="B244" s="37" t="s">
        <v>152</v>
      </c>
      <c r="D244" s="85"/>
      <c r="E244" s="95"/>
      <c r="F244" s="95"/>
      <c r="I244" s="51">
        <f>SUM(I235:I242)</f>
        <v>19923.311654553214</v>
      </c>
      <c r="J244" s="52"/>
      <c r="K244" s="51">
        <f>SUM(K235:K242)</f>
        <v>19923.311654553214</v>
      </c>
      <c r="L244" s="52"/>
      <c r="M244" s="5"/>
      <c r="N244" s="51">
        <f>SUM(N235:N242)</f>
        <v>18029.647033508594</v>
      </c>
      <c r="O244" s="5"/>
      <c r="P244" s="54">
        <f>SUM(K244,K205,K117)</f>
        <v>11704263.287039319</v>
      </c>
      <c r="Q244" s="54">
        <f>SUM(N244,N205,N117)</f>
        <v>11703955.409905415</v>
      </c>
      <c r="R244" s="54">
        <f>Q244-P244</f>
        <v>-307.87713390402496</v>
      </c>
    </row>
    <row r="245" spans="1:19" ht="16" outlineLevel="1" thickTop="1" x14ac:dyDescent="0.35">
      <c r="B245" s="37"/>
      <c r="D245" s="85"/>
      <c r="E245" s="95"/>
      <c r="F245" s="95"/>
      <c r="I245" s="52"/>
      <c r="J245" s="52"/>
      <c r="K245" s="52"/>
      <c r="L245" s="1"/>
      <c r="M245" s="5"/>
      <c r="N245" s="67"/>
      <c r="O245" s="108"/>
      <c r="P245" s="71"/>
      <c r="Q245" s="5"/>
      <c r="R245" s="5"/>
      <c r="S245" s="5"/>
    </row>
    <row r="246" spans="1:19" outlineLevel="1" x14ac:dyDescent="0.35">
      <c r="C246" s="46" t="s">
        <v>201</v>
      </c>
      <c r="F246" s="103"/>
      <c r="I246" s="1"/>
      <c r="J246" s="1"/>
      <c r="K246" s="1"/>
      <c r="L246" s="79"/>
      <c r="M246" s="1"/>
      <c r="N246" s="67">
        <f>N244-I244</f>
        <v>-1893.6646210446197</v>
      </c>
      <c r="O246" s="234">
        <v>0</v>
      </c>
      <c r="P246" s="5"/>
      <c r="Q246" s="5"/>
      <c r="R246" s="5"/>
      <c r="S246" s="5"/>
    </row>
    <row r="247" spans="1:19" outlineLevel="1" x14ac:dyDescent="0.35">
      <c r="C247" s="114"/>
      <c r="F247" s="103"/>
      <c r="H247" s="62"/>
      <c r="I247" s="79"/>
      <c r="J247" s="79"/>
      <c r="K247" s="79"/>
      <c r="M247" s="5"/>
      <c r="N247" s="115">
        <f>N246/I244</f>
        <v>-9.5047683531660626E-2</v>
      </c>
      <c r="O247" s="71">
        <f>N246-O246</f>
        <v>-1893.6646210446197</v>
      </c>
      <c r="P247" s="5"/>
      <c r="Q247" s="5"/>
      <c r="R247" s="5"/>
      <c r="S247" s="5"/>
    </row>
    <row r="248" spans="1:19" x14ac:dyDescent="0.35">
      <c r="A248" s="5"/>
      <c r="B248" s="39"/>
      <c r="M248" s="5"/>
      <c r="N248" s="121"/>
      <c r="O248" s="5"/>
      <c r="P248" s="5"/>
      <c r="Q248" s="5"/>
      <c r="R248" s="5"/>
      <c r="S248" s="5"/>
    </row>
    <row r="249" spans="1:19" x14ac:dyDescent="0.35">
      <c r="B249" s="36" t="s">
        <v>98</v>
      </c>
      <c r="M249" s="5"/>
      <c r="N249" s="5"/>
      <c r="O249" s="5"/>
      <c r="P249" s="5"/>
      <c r="Q249" s="5"/>
      <c r="R249" s="5"/>
      <c r="S249" s="5"/>
    </row>
    <row r="250" spans="1:19" x14ac:dyDescent="0.35">
      <c r="A250" s="5"/>
      <c r="B250" s="116"/>
      <c r="M250" s="5"/>
      <c r="N250" s="5"/>
      <c r="O250" s="5"/>
      <c r="P250" s="5"/>
      <c r="Q250" s="5"/>
      <c r="R250" s="5"/>
      <c r="S250" s="5"/>
    </row>
    <row r="251" spans="1:19" x14ac:dyDescent="0.35">
      <c r="A251" s="5"/>
      <c r="B251" s="33" t="s">
        <v>123</v>
      </c>
      <c r="C251" s="110"/>
      <c r="M251" s="5"/>
      <c r="N251" s="5"/>
      <c r="O251" s="5"/>
      <c r="P251" s="5"/>
      <c r="Q251" s="5"/>
      <c r="R251" s="5"/>
      <c r="S251" s="5"/>
    </row>
    <row r="252" spans="1:19" x14ac:dyDescent="0.35">
      <c r="A252" s="5" t="s">
        <v>84</v>
      </c>
      <c r="B252" s="33"/>
      <c r="C252" s="58" t="s">
        <v>94</v>
      </c>
      <c r="L252" s="67"/>
      <c r="M252" s="5"/>
      <c r="N252" s="5"/>
      <c r="P252" s="5"/>
      <c r="Q252" s="5"/>
      <c r="R252" s="5"/>
      <c r="S252" s="5"/>
    </row>
    <row r="253" spans="1:19" x14ac:dyDescent="0.35">
      <c r="A253" s="5"/>
      <c r="B253" s="37"/>
      <c r="C253" s="17" t="s">
        <v>106</v>
      </c>
      <c r="E253" s="45">
        <v>12</v>
      </c>
      <c r="H253" s="42">
        <v>285</v>
      </c>
      <c r="I253" s="67">
        <f>+E253*H253</f>
        <v>3420</v>
      </c>
      <c r="J253" s="199">
        <f>H253</f>
        <v>285</v>
      </c>
      <c r="K253" s="67">
        <f>+E253*J253</f>
        <v>3420</v>
      </c>
      <c r="L253" s="67"/>
      <c r="M253" s="42">
        <f>ROUND(M44*365.25/12,0)</f>
        <v>335</v>
      </c>
      <c r="N253" s="67">
        <f>E253*M253</f>
        <v>4020</v>
      </c>
      <c r="O253" s="115"/>
      <c r="P253" s="240">
        <f>Q46*365.25/12</f>
        <v>82.79</v>
      </c>
      <c r="Q253" s="5" t="s">
        <v>164</v>
      </c>
      <c r="R253" s="74"/>
      <c r="S253" s="5"/>
    </row>
    <row r="254" spans="1:19" x14ac:dyDescent="0.35">
      <c r="A254" s="5"/>
      <c r="C254" s="17" t="s">
        <v>0</v>
      </c>
      <c r="F254" s="45">
        <v>1500</v>
      </c>
      <c r="H254" s="43">
        <v>0.36030000000000001</v>
      </c>
      <c r="I254" s="67">
        <f>F254*H254</f>
        <v>540.45000000000005</v>
      </c>
      <c r="J254" s="201">
        <f>H254</f>
        <v>0.36030000000000001</v>
      </c>
      <c r="K254" s="67">
        <f>F254*J254</f>
        <v>540.45000000000005</v>
      </c>
      <c r="L254" s="79"/>
      <c r="M254" s="241">
        <v>0.41060000000000002</v>
      </c>
      <c r="N254" s="67">
        <f>F254*M254</f>
        <v>615.9</v>
      </c>
      <c r="O254" s="115"/>
      <c r="P254" s="74">
        <f>J44*365.25/12</f>
        <v>285.19937499999997</v>
      </c>
      <c r="Q254" s="5" t="s">
        <v>170</v>
      </c>
      <c r="R254" s="5"/>
      <c r="S254" s="5"/>
    </row>
    <row r="255" spans="1:19" x14ac:dyDescent="0.35">
      <c r="A255" s="5"/>
      <c r="C255" s="68" t="s">
        <v>13</v>
      </c>
      <c r="F255" s="45">
        <v>24000</v>
      </c>
      <c r="H255" s="75">
        <v>6.56</v>
      </c>
      <c r="I255" s="69">
        <f>F255*H255</f>
        <v>157440</v>
      </c>
      <c r="J255" s="200">
        <f>H255</f>
        <v>6.56</v>
      </c>
      <c r="K255" s="69">
        <f>F255*J255</f>
        <v>157440</v>
      </c>
      <c r="L255" s="67"/>
      <c r="M255" s="236">
        <v>7.17</v>
      </c>
      <c r="N255" s="69">
        <f>F255*M255</f>
        <v>172080</v>
      </c>
      <c r="O255" s="115"/>
      <c r="P255" s="74">
        <f>M44*365.25/12</f>
        <v>334.8125</v>
      </c>
      <c r="Q255" s="5" t="s">
        <v>171</v>
      </c>
      <c r="R255" s="5"/>
      <c r="S255" s="5"/>
    </row>
    <row r="256" spans="1:19" x14ac:dyDescent="0.35">
      <c r="A256" s="5"/>
      <c r="C256" s="94" t="s">
        <v>153</v>
      </c>
      <c r="F256" s="97"/>
      <c r="H256" s="43"/>
      <c r="I256" s="99">
        <f>SUM(I253:I255)</f>
        <v>161400.45000000001</v>
      </c>
      <c r="J256" s="99"/>
      <c r="K256" s="99">
        <f>SUM(K253:K255)</f>
        <v>161400.45000000001</v>
      </c>
      <c r="L256" s="67"/>
      <c r="M256" s="43"/>
      <c r="N256" s="99">
        <f>SUM(N253:N255)</f>
        <v>176715.9</v>
      </c>
      <c r="O256" s="5"/>
      <c r="P256" s="5"/>
      <c r="Q256" s="5"/>
      <c r="R256" s="5"/>
      <c r="S256" s="5"/>
    </row>
    <row r="257" spans="1:19" x14ac:dyDescent="0.35">
      <c r="A257" s="5"/>
      <c r="C257" s="37"/>
      <c r="F257" s="97"/>
      <c r="H257" s="43"/>
      <c r="I257" s="67"/>
      <c r="J257" s="67"/>
      <c r="K257" s="67"/>
      <c r="L257" s="67"/>
      <c r="M257" s="43"/>
      <c r="N257" s="67"/>
      <c r="O257" s="5"/>
      <c r="P257" s="237">
        <v>4.87E-2</v>
      </c>
      <c r="Q257" s="5" t="s">
        <v>172</v>
      </c>
      <c r="R257" s="5"/>
      <c r="S257" s="5"/>
    </row>
    <row r="258" spans="1:19" x14ac:dyDescent="0.35">
      <c r="A258" s="5"/>
      <c r="C258" s="37" t="s">
        <v>154</v>
      </c>
      <c r="F258" s="97"/>
      <c r="G258" s="38" t="s">
        <v>88</v>
      </c>
      <c r="H258" s="47">
        <v>1</v>
      </c>
      <c r="I258" s="99">
        <f>I256/H258</f>
        <v>161400.45000000001</v>
      </c>
      <c r="J258" s="47">
        <v>1</v>
      </c>
      <c r="K258" s="99">
        <f>K256/J258</f>
        <v>161400.45000000001</v>
      </c>
      <c r="L258" s="67"/>
      <c r="M258" s="98">
        <f>H258</f>
        <v>1</v>
      </c>
      <c r="N258" s="99">
        <f>N256/M258</f>
        <v>176715.9</v>
      </c>
      <c r="O258" s="5"/>
      <c r="P258" s="5"/>
      <c r="Q258" s="5"/>
      <c r="R258" s="5"/>
      <c r="S258" s="5"/>
    </row>
    <row r="259" spans="1:19" x14ac:dyDescent="0.35">
      <c r="A259" s="5"/>
      <c r="C259" s="37"/>
      <c r="F259" s="97"/>
      <c r="G259" s="38"/>
      <c r="H259" s="47"/>
      <c r="I259" s="99"/>
      <c r="J259" s="47"/>
      <c r="K259" s="99"/>
      <c r="L259" s="67"/>
      <c r="M259" s="98"/>
      <c r="N259" s="99"/>
      <c r="O259" s="5"/>
      <c r="P259" s="238">
        <v>0.41060000000000002</v>
      </c>
      <c r="Q259" s="5" t="s">
        <v>182</v>
      </c>
      <c r="R259" s="5"/>
      <c r="S259" s="5"/>
    </row>
    <row r="260" spans="1:19" x14ac:dyDescent="0.35">
      <c r="A260" s="5"/>
      <c r="C260" s="17" t="s">
        <v>158</v>
      </c>
      <c r="F260" s="97"/>
      <c r="G260" s="38"/>
      <c r="H260" s="47"/>
      <c r="I260" s="99"/>
      <c r="J260" s="47"/>
      <c r="K260" s="67">
        <f>I266-K266</f>
        <v>15025.63173047614</v>
      </c>
      <c r="L260" s="67"/>
      <c r="M260" s="98"/>
      <c r="N260" s="41"/>
      <c r="O260" s="5"/>
      <c r="P260" s="5"/>
      <c r="Q260" s="5"/>
      <c r="R260" s="5"/>
      <c r="S260" s="5"/>
    </row>
    <row r="261" spans="1:19" x14ac:dyDescent="0.35">
      <c r="A261" s="5"/>
      <c r="F261" s="97"/>
      <c r="H261" s="43"/>
      <c r="I261" s="67"/>
      <c r="J261" s="67"/>
      <c r="K261" s="67"/>
      <c r="L261" s="42"/>
      <c r="M261" s="43"/>
      <c r="N261" s="67"/>
      <c r="O261" s="5"/>
      <c r="P261" s="5"/>
      <c r="Q261" s="5"/>
      <c r="R261" s="5"/>
      <c r="S261" s="5"/>
    </row>
    <row r="262" spans="1:19" ht="16" thickBot="1" x14ac:dyDescent="0.4">
      <c r="C262" s="37" t="s">
        <v>163</v>
      </c>
      <c r="F262" s="49"/>
      <c r="I262" s="51">
        <f>I258+I260</f>
        <v>161400.45000000001</v>
      </c>
      <c r="K262" s="51">
        <f>K258+K260</f>
        <v>176426.08173047614</v>
      </c>
      <c r="M262" s="5"/>
      <c r="N262" s="51">
        <f>N258+N260</f>
        <v>176715.9</v>
      </c>
      <c r="Q262" s="5"/>
      <c r="R262" s="5"/>
      <c r="S262" s="5"/>
    </row>
    <row r="263" spans="1:19" ht="16" thickTop="1" x14ac:dyDescent="0.35">
      <c r="F263" s="49"/>
      <c r="M263" s="5"/>
      <c r="N263" s="5"/>
      <c r="Q263" s="5"/>
      <c r="R263" s="5"/>
      <c r="S263" s="5"/>
    </row>
    <row r="264" spans="1:19" x14ac:dyDescent="0.35">
      <c r="A264" s="5"/>
      <c r="C264" s="17" t="s">
        <v>34</v>
      </c>
      <c r="F264" s="103"/>
      <c r="H264" s="6"/>
      <c r="I264" s="79">
        <v>5887.3392885273897</v>
      </c>
      <c r="J264" s="79"/>
      <c r="K264" s="79">
        <v>5887.3392885273897</v>
      </c>
      <c r="L264" s="42"/>
      <c r="M264" s="5"/>
      <c r="N264" s="79">
        <f>I264</f>
        <v>5887.3392885273897</v>
      </c>
      <c r="O264" s="5"/>
      <c r="P264" s="5"/>
      <c r="Q264" s="5"/>
      <c r="R264" s="5"/>
      <c r="S264" s="5"/>
    </row>
    <row r="265" spans="1:19" x14ac:dyDescent="0.35">
      <c r="A265" s="5"/>
      <c r="C265" s="17" t="s">
        <v>35</v>
      </c>
      <c r="H265" s="6"/>
      <c r="I265" s="79">
        <v>10.331394286072639</v>
      </c>
      <c r="J265" s="79"/>
      <c r="K265" s="79">
        <v>10.331394286072639</v>
      </c>
      <c r="L265" s="79"/>
      <c r="M265" s="5"/>
      <c r="N265" s="79">
        <f>I265</f>
        <v>10.331394286072639</v>
      </c>
      <c r="O265" s="5"/>
      <c r="P265" s="5"/>
      <c r="Q265" s="5"/>
      <c r="R265" s="5"/>
      <c r="S265" s="5"/>
    </row>
    <row r="266" spans="1:19" x14ac:dyDescent="0.35">
      <c r="A266" s="5"/>
      <c r="C266" s="17" t="s">
        <v>31</v>
      </c>
      <c r="I266" s="79">
        <v>23096.994308263704</v>
      </c>
      <c r="J266" s="79"/>
      <c r="K266" s="79">
        <v>8071.3625777875632</v>
      </c>
      <c r="L266" s="79"/>
      <c r="M266" s="5"/>
      <c r="N266" s="79">
        <f>K266</f>
        <v>8071.3625777875632</v>
      </c>
      <c r="O266" s="5"/>
      <c r="P266" s="5"/>
      <c r="Q266" s="5"/>
      <c r="R266" s="5"/>
      <c r="S266" s="5"/>
    </row>
    <row r="267" spans="1:19" x14ac:dyDescent="0.35">
      <c r="A267" s="5"/>
      <c r="I267" s="79"/>
      <c r="J267" s="79"/>
      <c r="K267" s="79"/>
      <c r="L267" s="67"/>
      <c r="M267" s="5"/>
      <c r="N267" s="5"/>
      <c r="O267" s="5"/>
      <c r="P267" s="71"/>
      <c r="Q267" s="5"/>
      <c r="R267" s="5"/>
      <c r="S267" s="5"/>
    </row>
    <row r="268" spans="1:19" ht="16" thickBot="1" x14ac:dyDescent="0.4">
      <c r="A268" s="5"/>
      <c r="B268" s="37" t="s">
        <v>152</v>
      </c>
      <c r="F268" s="103"/>
      <c r="I268" s="107">
        <f>SUM(I262:I266)</f>
        <v>190395.11499107716</v>
      </c>
      <c r="J268" s="104"/>
      <c r="K268" s="107">
        <f>SUM(K262:K266)</f>
        <v>190395.11499107716</v>
      </c>
      <c r="L268" s="79"/>
      <c r="M268" s="5"/>
      <c r="N268" s="107">
        <f>SUM(N262:N266)</f>
        <v>190684.93326060101</v>
      </c>
      <c r="O268" s="5"/>
      <c r="P268" s="5"/>
      <c r="Q268" s="5"/>
      <c r="R268" s="5"/>
      <c r="S268" s="5"/>
    </row>
    <row r="269" spans="1:19" ht="16" thickTop="1" x14ac:dyDescent="0.35">
      <c r="A269" s="5"/>
      <c r="C269" s="114"/>
      <c r="F269" s="103"/>
      <c r="H269" s="62"/>
      <c r="I269" s="79"/>
      <c r="J269" s="79"/>
      <c r="K269" s="79"/>
      <c r="L269" s="6"/>
      <c r="M269" s="5"/>
      <c r="N269" s="5"/>
      <c r="O269" s="56"/>
      <c r="P269" s="5"/>
      <c r="Q269" s="5"/>
      <c r="R269" s="5"/>
      <c r="S269" s="5"/>
    </row>
    <row r="270" spans="1:19" x14ac:dyDescent="0.35">
      <c r="A270" s="5"/>
      <c r="C270" s="46" t="s">
        <v>198</v>
      </c>
      <c r="F270" s="103"/>
      <c r="H270" s="62"/>
      <c r="I270" s="6"/>
      <c r="J270" s="6"/>
      <c r="K270" s="6"/>
      <c r="L270" s="79"/>
      <c r="M270" s="5"/>
      <c r="N270" s="67">
        <f>N268-I268</f>
        <v>289.81826952385018</v>
      </c>
      <c r="O270" s="57"/>
      <c r="P270" s="5"/>
      <c r="Q270" s="5"/>
      <c r="R270" s="5"/>
      <c r="S270" s="5"/>
    </row>
    <row r="271" spans="1:19" x14ac:dyDescent="0.35">
      <c r="A271" s="5"/>
      <c r="C271" s="46"/>
      <c r="F271" s="103"/>
      <c r="H271" s="62"/>
      <c r="I271" s="6"/>
      <c r="J271" s="6"/>
      <c r="K271" s="6"/>
      <c r="L271" s="79"/>
      <c r="M271" s="5"/>
      <c r="N271" s="225">
        <f>IF(N270=0,0,N270/I268)</f>
        <v>1.52219383116753E-3</v>
      </c>
      <c r="O271" s="57"/>
      <c r="P271" s="5"/>
      <c r="Q271" s="5"/>
      <c r="R271" s="5"/>
      <c r="S271" s="5"/>
    </row>
    <row r="272" spans="1:19" x14ac:dyDescent="0.35">
      <c r="A272" s="5"/>
      <c r="B272" s="6"/>
      <c r="C272" s="6"/>
      <c r="D272" s="6"/>
      <c r="E272" s="50"/>
      <c r="F272" s="50"/>
      <c r="G272" s="50"/>
      <c r="H272" s="6"/>
      <c r="L272" s="79"/>
      <c r="M272" s="5"/>
      <c r="N272" s="115"/>
      <c r="O272" s="5"/>
      <c r="P272" s="5"/>
      <c r="Q272" s="5"/>
      <c r="R272" s="5"/>
      <c r="S272" s="5"/>
    </row>
    <row r="273" spans="1:19" x14ac:dyDescent="0.35">
      <c r="B273" s="36" t="s">
        <v>99</v>
      </c>
      <c r="M273" s="5"/>
      <c r="N273" s="5"/>
      <c r="O273" s="5"/>
      <c r="P273" s="5"/>
      <c r="Q273" s="5"/>
      <c r="R273" s="5"/>
      <c r="S273" s="5"/>
    </row>
    <row r="274" spans="1:19" x14ac:dyDescent="0.35">
      <c r="A274" s="5"/>
      <c r="B274" s="116"/>
      <c r="M274" s="5"/>
      <c r="N274" s="5"/>
      <c r="O274" s="5"/>
      <c r="P274" s="5"/>
      <c r="Q274" s="5"/>
      <c r="R274" s="5"/>
      <c r="S274" s="5"/>
    </row>
    <row r="275" spans="1:19" x14ac:dyDescent="0.35">
      <c r="A275" s="5"/>
      <c r="B275" s="33" t="s">
        <v>124</v>
      </c>
      <c r="C275" s="110"/>
      <c r="M275" s="5"/>
      <c r="N275" s="5"/>
      <c r="O275" s="5"/>
      <c r="P275" s="5"/>
      <c r="Q275" s="5"/>
      <c r="R275" s="5"/>
      <c r="S275" s="5"/>
    </row>
    <row r="276" spans="1:19" x14ac:dyDescent="0.35">
      <c r="A276" s="5" t="s">
        <v>85</v>
      </c>
      <c r="B276" s="33"/>
      <c r="C276" s="58" t="s">
        <v>94</v>
      </c>
      <c r="L276" s="67"/>
      <c r="M276" s="5"/>
      <c r="N276" s="5"/>
      <c r="O276" s="5"/>
      <c r="P276" s="5"/>
      <c r="Q276" s="5"/>
      <c r="R276" s="5"/>
      <c r="S276" s="5"/>
    </row>
    <row r="277" spans="1:19" x14ac:dyDescent="0.35">
      <c r="A277" s="5"/>
      <c r="C277" s="17" t="s">
        <v>106</v>
      </c>
      <c r="E277" s="45">
        <v>0</v>
      </c>
      <c r="F277" s="103"/>
      <c r="H277" s="42">
        <v>750</v>
      </c>
      <c r="I277" s="67">
        <f>+E277*H277</f>
        <v>0</v>
      </c>
      <c r="J277" s="199">
        <f>H277</f>
        <v>750</v>
      </c>
      <c r="K277" s="67">
        <f>+E277*J277</f>
        <v>0</v>
      </c>
      <c r="M277" s="42">
        <f>M215</f>
        <v>750</v>
      </c>
      <c r="N277" s="67">
        <f>E277*M277</f>
        <v>0</v>
      </c>
      <c r="O277" s="5"/>
      <c r="P277" s="5"/>
      <c r="Q277" s="5"/>
      <c r="R277" s="5"/>
      <c r="S277" s="5"/>
    </row>
    <row r="278" spans="1:19" x14ac:dyDescent="0.35">
      <c r="A278" s="5"/>
      <c r="C278" s="17" t="s">
        <v>0</v>
      </c>
      <c r="F278" s="45">
        <v>0</v>
      </c>
      <c r="H278" s="43">
        <v>0.29919999999999997</v>
      </c>
      <c r="I278" s="67">
        <f>F278*H278</f>
        <v>0</v>
      </c>
      <c r="J278" s="201">
        <f>H278</f>
        <v>0.29919999999999997</v>
      </c>
      <c r="K278" s="67">
        <f>F278*J278</f>
        <v>0</v>
      </c>
      <c r="L278" s="67"/>
      <c r="M278" s="43">
        <f t="shared" ref="M278:M279" si="3">M216</f>
        <v>0.31</v>
      </c>
      <c r="N278" s="67">
        <f>F278*M278</f>
        <v>0</v>
      </c>
      <c r="O278" s="5"/>
      <c r="P278" s="5"/>
      <c r="Q278" s="5"/>
      <c r="R278" s="5"/>
      <c r="S278" s="5"/>
    </row>
    <row r="279" spans="1:19" x14ac:dyDescent="0.35">
      <c r="A279" s="5"/>
      <c r="C279" s="68" t="s">
        <v>13</v>
      </c>
      <c r="F279" s="45">
        <v>0</v>
      </c>
      <c r="H279" s="75">
        <v>10.9</v>
      </c>
      <c r="I279" s="69">
        <f>F279*H279</f>
        <v>0</v>
      </c>
      <c r="J279" s="200">
        <f>H279</f>
        <v>10.9</v>
      </c>
      <c r="K279" s="69">
        <f>F279*J279</f>
        <v>0</v>
      </c>
      <c r="L279" s="67"/>
      <c r="M279" s="75">
        <f t="shared" si="3"/>
        <v>10.89</v>
      </c>
      <c r="N279" s="69">
        <f>F279*M279</f>
        <v>0</v>
      </c>
      <c r="O279" s="5"/>
      <c r="P279" s="5"/>
      <c r="Q279" s="5"/>
      <c r="R279" s="5"/>
      <c r="S279" s="5"/>
    </row>
    <row r="280" spans="1:19" x14ac:dyDescent="0.35">
      <c r="A280" s="5"/>
      <c r="C280" s="94" t="s">
        <v>153</v>
      </c>
      <c r="F280" s="97"/>
      <c r="H280" s="43"/>
      <c r="I280" s="99">
        <f>SUM(I277:I279)</f>
        <v>0</v>
      </c>
      <c r="J280" s="99"/>
      <c r="K280" s="99">
        <f>SUM(K277:K279)</f>
        <v>0</v>
      </c>
      <c r="L280" s="67"/>
      <c r="M280" s="43"/>
      <c r="N280" s="99">
        <f>SUM(N277:N279)</f>
        <v>0</v>
      </c>
      <c r="O280" s="5"/>
      <c r="P280" s="5"/>
      <c r="Q280" s="5"/>
      <c r="R280" s="5"/>
      <c r="S280" s="5"/>
    </row>
    <row r="281" spans="1:19" x14ac:dyDescent="0.35">
      <c r="A281" s="5"/>
      <c r="C281" s="37"/>
      <c r="F281" s="97"/>
      <c r="H281" s="43"/>
      <c r="I281" s="67"/>
      <c r="J281" s="67"/>
      <c r="K281" s="67"/>
      <c r="L281" s="67"/>
      <c r="M281" s="43"/>
      <c r="N281" s="67"/>
      <c r="O281" s="5"/>
      <c r="P281" s="5"/>
      <c r="Q281" s="5"/>
      <c r="R281" s="5"/>
      <c r="S281" s="5"/>
    </row>
    <row r="282" spans="1:19" x14ac:dyDescent="0.35">
      <c r="A282" s="5"/>
      <c r="C282" s="37" t="s">
        <v>154</v>
      </c>
      <c r="F282" s="97"/>
      <c r="G282" s="38" t="s">
        <v>88</v>
      </c>
      <c r="H282" s="47">
        <v>0</v>
      </c>
      <c r="I282" s="99">
        <f>IF(H282=0,0,I280/H282)</f>
        <v>0</v>
      </c>
      <c r="J282" s="47">
        <v>0</v>
      </c>
      <c r="K282" s="99">
        <f>IF(J282=0,0,K280/J282)</f>
        <v>0</v>
      </c>
      <c r="L282" s="67"/>
      <c r="M282" s="98">
        <f>H282</f>
        <v>0</v>
      </c>
      <c r="N282" s="99">
        <f>IF(M282=0,0,N280/M282)</f>
        <v>0</v>
      </c>
      <c r="O282" s="5"/>
      <c r="P282" s="5"/>
      <c r="Q282" s="5"/>
      <c r="R282" s="5"/>
      <c r="S282" s="5"/>
    </row>
    <row r="283" spans="1:19" x14ac:dyDescent="0.35">
      <c r="A283" s="5"/>
      <c r="C283" s="37"/>
      <c r="F283" s="97"/>
      <c r="G283" s="38"/>
      <c r="H283" s="47"/>
      <c r="I283" s="99"/>
      <c r="J283" s="47"/>
      <c r="K283" s="99"/>
      <c r="L283" s="67"/>
      <c r="M283" s="98"/>
      <c r="N283" s="99"/>
      <c r="O283" s="5"/>
      <c r="P283" s="5"/>
      <c r="Q283" s="5"/>
      <c r="R283" s="5"/>
      <c r="S283" s="5"/>
    </row>
    <row r="284" spans="1:19" x14ac:dyDescent="0.35">
      <c r="A284" s="5"/>
      <c r="C284" s="17" t="s">
        <v>158</v>
      </c>
      <c r="F284" s="97"/>
      <c r="G284" s="38"/>
      <c r="H284" s="47"/>
      <c r="I284" s="99"/>
      <c r="J284" s="47"/>
      <c r="K284" s="67"/>
      <c r="L284" s="67"/>
      <c r="M284" s="98"/>
      <c r="N284" s="41"/>
      <c r="O284" s="5"/>
      <c r="P284" s="5"/>
      <c r="Q284" s="5"/>
      <c r="R284" s="5"/>
      <c r="S284" s="5"/>
    </row>
    <row r="285" spans="1:19" x14ac:dyDescent="0.35">
      <c r="A285" s="5"/>
      <c r="F285" s="97"/>
      <c r="H285" s="43"/>
      <c r="I285" s="67"/>
      <c r="J285" s="67"/>
      <c r="K285" s="67"/>
      <c r="L285" s="42"/>
      <c r="M285" s="43"/>
      <c r="N285" s="67"/>
      <c r="O285" s="5"/>
      <c r="P285" s="5"/>
      <c r="Q285" s="5"/>
      <c r="R285" s="5"/>
      <c r="S285" s="5"/>
    </row>
    <row r="286" spans="1:19" ht="16" thickBot="1" x14ac:dyDescent="0.4">
      <c r="C286" s="37" t="s">
        <v>163</v>
      </c>
      <c r="F286" s="49"/>
      <c r="I286" s="51">
        <f>I282+I284</f>
        <v>0</v>
      </c>
      <c r="K286" s="51">
        <f>K282+K284</f>
        <v>0</v>
      </c>
      <c r="M286" s="5"/>
      <c r="N286" s="51">
        <f>N282+N284</f>
        <v>0</v>
      </c>
      <c r="Q286" s="5"/>
      <c r="R286" s="5"/>
      <c r="S286" s="5"/>
    </row>
    <row r="287" spans="1:19" ht="16" thickTop="1" x14ac:dyDescent="0.35">
      <c r="F287" s="49"/>
      <c r="M287" s="5"/>
      <c r="N287" s="5"/>
      <c r="Q287" s="5"/>
      <c r="R287" s="5"/>
      <c r="S287" s="5"/>
    </row>
    <row r="288" spans="1:19" x14ac:dyDescent="0.35">
      <c r="A288" s="5"/>
      <c r="C288" s="17" t="s">
        <v>34</v>
      </c>
      <c r="F288" s="103"/>
      <c r="H288" s="6"/>
      <c r="I288" s="79">
        <v>0</v>
      </c>
      <c r="J288" s="79"/>
      <c r="K288" s="79">
        <v>0</v>
      </c>
      <c r="L288" s="42"/>
      <c r="M288" s="5"/>
      <c r="N288" s="79">
        <f>I288</f>
        <v>0</v>
      </c>
      <c r="O288" s="5"/>
      <c r="P288" s="5"/>
      <c r="Q288" s="5"/>
      <c r="R288" s="5"/>
      <c r="S288" s="5"/>
    </row>
    <row r="289" spans="1:19" x14ac:dyDescent="0.35">
      <c r="A289" s="5"/>
      <c r="C289" s="17" t="s">
        <v>35</v>
      </c>
      <c r="H289" s="6"/>
      <c r="I289" s="79">
        <v>0</v>
      </c>
      <c r="J289" s="79"/>
      <c r="K289" s="79">
        <v>0</v>
      </c>
      <c r="L289" s="79"/>
      <c r="M289" s="5"/>
      <c r="N289" s="79">
        <f>I289</f>
        <v>0</v>
      </c>
      <c r="O289" s="5"/>
      <c r="P289" s="5"/>
      <c r="Q289" s="5"/>
      <c r="R289" s="5"/>
      <c r="S289" s="5"/>
    </row>
    <row r="290" spans="1:19" x14ac:dyDescent="0.35">
      <c r="A290" s="5"/>
      <c r="C290" s="17" t="s">
        <v>31</v>
      </c>
      <c r="I290" s="79">
        <v>0</v>
      </c>
      <c r="J290" s="79"/>
      <c r="K290" s="79">
        <v>0</v>
      </c>
      <c r="L290" s="79"/>
      <c r="M290" s="5"/>
      <c r="N290" s="79">
        <f>K290</f>
        <v>0</v>
      </c>
      <c r="O290" s="5"/>
      <c r="P290" s="5"/>
      <c r="Q290" s="5"/>
      <c r="R290" s="5"/>
      <c r="S290" s="5"/>
    </row>
    <row r="291" spans="1:19" x14ac:dyDescent="0.35">
      <c r="A291" s="5"/>
      <c r="I291" s="79"/>
      <c r="J291" s="79"/>
      <c r="K291" s="79"/>
      <c r="L291" s="67"/>
      <c r="M291" s="5"/>
      <c r="N291" s="5"/>
      <c r="O291" s="5"/>
      <c r="P291" s="5"/>
      <c r="Q291" s="5"/>
      <c r="R291" s="5"/>
      <c r="S291" s="5"/>
    </row>
    <row r="292" spans="1:19" ht="16" thickBot="1" x14ac:dyDescent="0.4">
      <c r="A292" s="5"/>
      <c r="B292" s="37" t="s">
        <v>152</v>
      </c>
      <c r="F292" s="103"/>
      <c r="I292" s="107">
        <f>SUM(I286:I290)</f>
        <v>0</v>
      </c>
      <c r="J292" s="104"/>
      <c r="K292" s="107">
        <f>SUM(K286:K290)</f>
        <v>0</v>
      </c>
      <c r="L292" s="79"/>
      <c r="M292" s="5"/>
      <c r="N292" s="107">
        <f>SUM(N286:N290)</f>
        <v>0</v>
      </c>
      <c r="O292" s="5"/>
      <c r="P292" s="5"/>
      <c r="Q292" s="5"/>
      <c r="R292" s="5"/>
      <c r="S292" s="5"/>
    </row>
    <row r="293" spans="1:19" ht="16" thickTop="1" x14ac:dyDescent="0.35">
      <c r="A293" s="5"/>
      <c r="C293" s="114"/>
      <c r="F293" s="103"/>
      <c r="H293" s="62"/>
      <c r="I293" s="79"/>
      <c r="J293" s="79"/>
      <c r="K293" s="79"/>
      <c r="L293" s="6"/>
      <c r="M293" s="5"/>
      <c r="N293" s="5"/>
      <c r="O293" s="5"/>
      <c r="P293" s="5"/>
      <c r="Q293" s="5"/>
      <c r="R293" s="5"/>
      <c r="S293" s="5"/>
    </row>
    <row r="294" spans="1:19" x14ac:dyDescent="0.35">
      <c r="A294" s="5"/>
      <c r="C294" s="46" t="s">
        <v>201</v>
      </c>
      <c r="F294" s="103"/>
      <c r="H294" s="62"/>
      <c r="I294" s="6"/>
      <c r="J294" s="6"/>
      <c r="K294" s="6"/>
      <c r="L294" s="6"/>
      <c r="M294" s="5"/>
      <c r="N294" s="67">
        <f>N292-I292</f>
        <v>0</v>
      </c>
      <c r="O294" s="5"/>
      <c r="P294" s="5"/>
      <c r="Q294" s="5"/>
      <c r="R294" s="5"/>
      <c r="S294" s="5"/>
    </row>
    <row r="295" spans="1:19" x14ac:dyDescent="0.35">
      <c r="A295" s="5"/>
      <c r="C295" s="46"/>
      <c r="F295" s="103"/>
      <c r="H295" s="62"/>
      <c r="I295" s="6"/>
      <c r="J295" s="6"/>
      <c r="K295" s="6"/>
      <c r="L295" s="6"/>
      <c r="M295" s="5"/>
      <c r="N295" s="225">
        <f>IF(I292=0,0,N294/I292)</f>
        <v>0</v>
      </c>
      <c r="O295" s="5"/>
      <c r="P295" s="5"/>
      <c r="Q295" s="5"/>
      <c r="R295" s="5"/>
      <c r="S295" s="5"/>
    </row>
    <row r="296" spans="1:19" x14ac:dyDescent="0.35">
      <c r="A296" s="5"/>
      <c r="C296" s="46"/>
      <c r="F296" s="103"/>
      <c r="H296" s="62"/>
      <c r="I296" s="6"/>
      <c r="J296" s="6"/>
      <c r="K296" s="6"/>
      <c r="L296" s="79"/>
      <c r="M296" s="5"/>
      <c r="N296" s="115"/>
      <c r="O296" s="5"/>
      <c r="P296" s="5"/>
      <c r="Q296" s="5"/>
      <c r="R296" s="5"/>
      <c r="S296" s="5"/>
    </row>
    <row r="297" spans="1:19" x14ac:dyDescent="0.35">
      <c r="A297" s="5"/>
      <c r="B297" s="36" t="s">
        <v>79</v>
      </c>
      <c r="M297" s="5"/>
      <c r="N297" s="5"/>
      <c r="O297" s="5"/>
      <c r="P297" s="5"/>
      <c r="Q297" s="5"/>
      <c r="R297" s="5"/>
      <c r="S297" s="5"/>
    </row>
    <row r="298" spans="1:19" x14ac:dyDescent="0.35">
      <c r="A298" s="5" t="s">
        <v>80</v>
      </c>
      <c r="B298" s="116"/>
      <c r="M298" s="5"/>
      <c r="N298" s="5"/>
      <c r="O298" s="5"/>
      <c r="P298" s="5"/>
    </row>
    <row r="299" spans="1:19" x14ac:dyDescent="0.35">
      <c r="A299" s="5"/>
      <c r="B299" s="33" t="s">
        <v>125</v>
      </c>
      <c r="C299" s="110"/>
      <c r="L299" s="67"/>
      <c r="M299" s="5"/>
      <c r="N299" s="5"/>
      <c r="O299" s="5"/>
      <c r="P299" s="5"/>
    </row>
    <row r="300" spans="1:19" x14ac:dyDescent="0.35">
      <c r="C300" s="17" t="s">
        <v>22</v>
      </c>
      <c r="E300" s="49">
        <f>E302</f>
        <v>0</v>
      </c>
      <c r="F300" s="103"/>
      <c r="H300" s="42">
        <v>550</v>
      </c>
      <c r="I300" s="67">
        <f>+E300*H300</f>
        <v>0</v>
      </c>
      <c r="J300" s="199">
        <f>H300</f>
        <v>550</v>
      </c>
      <c r="K300" s="67">
        <f>+E300*J300</f>
        <v>0</v>
      </c>
      <c r="M300" s="42">
        <f>M160</f>
        <v>550</v>
      </c>
      <c r="N300" s="67">
        <f>E300*M300</f>
        <v>0</v>
      </c>
    </row>
    <row r="301" spans="1:19" x14ac:dyDescent="0.35">
      <c r="A301" s="5"/>
      <c r="C301" s="58" t="s">
        <v>94</v>
      </c>
      <c r="L301" s="67"/>
      <c r="O301" s="5"/>
      <c r="P301" s="5"/>
    </row>
    <row r="302" spans="1:19" x14ac:dyDescent="0.35">
      <c r="B302" s="37"/>
      <c r="C302" s="17" t="s">
        <v>106</v>
      </c>
      <c r="E302" s="45">
        <v>0</v>
      </c>
      <c r="H302" s="42">
        <v>750</v>
      </c>
      <c r="I302" s="67">
        <f>+E302*H302</f>
        <v>0</v>
      </c>
      <c r="J302" s="199">
        <f>H302</f>
        <v>750</v>
      </c>
      <c r="K302" s="67">
        <f>+E302*J302</f>
        <v>0</v>
      </c>
      <c r="L302" s="67"/>
      <c r="M302" s="42">
        <f>M162</f>
        <v>750</v>
      </c>
      <c r="N302" s="67">
        <f>E302*M302</f>
        <v>0</v>
      </c>
    </row>
    <row r="303" spans="1:19" x14ac:dyDescent="0.35">
      <c r="C303" s="55" t="s">
        <v>87</v>
      </c>
      <c r="F303" s="45">
        <v>0</v>
      </c>
      <c r="H303" s="43">
        <v>3.7999999999999999E-2</v>
      </c>
      <c r="I303" s="67">
        <f>F303*H303</f>
        <v>0</v>
      </c>
      <c r="J303" s="201">
        <f>H303</f>
        <v>3.7999999999999999E-2</v>
      </c>
      <c r="K303" s="67">
        <f>F303*J303</f>
        <v>0</v>
      </c>
      <c r="L303" s="67"/>
      <c r="M303" s="43">
        <f t="shared" ref="M303:M304" si="4">M163</f>
        <v>4.5600000000000002E-2</v>
      </c>
      <c r="N303" s="67">
        <f>F303*M303</f>
        <v>0</v>
      </c>
    </row>
    <row r="304" spans="1:19" x14ac:dyDescent="0.35">
      <c r="C304" s="68" t="s">
        <v>13</v>
      </c>
      <c r="F304" s="45">
        <v>0</v>
      </c>
      <c r="H304" s="75">
        <v>4.8899999999999997</v>
      </c>
      <c r="I304" s="69">
        <f>F304*H304</f>
        <v>0</v>
      </c>
      <c r="J304" s="200">
        <f>H304</f>
        <v>4.8899999999999997</v>
      </c>
      <c r="K304" s="69">
        <f>F304*J304</f>
        <v>0</v>
      </c>
      <c r="L304" s="67"/>
      <c r="M304" s="75">
        <f t="shared" si="4"/>
        <v>7.48</v>
      </c>
      <c r="N304" s="69">
        <f>F304*M304</f>
        <v>0</v>
      </c>
    </row>
    <row r="305" spans="2:19" x14ac:dyDescent="0.35">
      <c r="C305" s="94" t="s">
        <v>153</v>
      </c>
      <c r="F305" s="97"/>
      <c r="H305" s="43"/>
      <c r="I305" s="99">
        <f>SUM(I300:I304)</f>
        <v>0</v>
      </c>
      <c r="J305" s="99"/>
      <c r="K305" s="99">
        <f>SUM(K300:K304)</f>
        <v>0</v>
      </c>
      <c r="L305" s="67"/>
      <c r="M305" s="43"/>
      <c r="N305" s="99">
        <f>SUM(N300:N304)</f>
        <v>0</v>
      </c>
    </row>
    <row r="306" spans="2:19" x14ac:dyDescent="0.35">
      <c r="C306" s="37"/>
      <c r="F306" s="97"/>
      <c r="H306" s="43"/>
      <c r="I306" s="67"/>
      <c r="J306" s="67"/>
      <c r="K306" s="67"/>
      <c r="L306" s="67"/>
      <c r="M306" s="43"/>
      <c r="N306" s="67"/>
    </row>
    <row r="307" spans="2:19" x14ac:dyDescent="0.35">
      <c r="C307" s="37" t="s">
        <v>154</v>
      </c>
      <c r="F307" s="97"/>
      <c r="G307" s="38" t="s">
        <v>88</v>
      </c>
      <c r="H307" s="47">
        <v>0</v>
      </c>
      <c r="I307" s="188">
        <f>IF(I305=0,0,I305/H307)</f>
        <v>0</v>
      </c>
      <c r="J307" s="47">
        <v>0</v>
      </c>
      <c r="K307" s="188">
        <f>IF(K305=0,0,K305/J307)</f>
        <v>0</v>
      </c>
      <c r="L307" s="67"/>
      <c r="M307" s="98">
        <f>H307</f>
        <v>0</v>
      </c>
      <c r="N307" s="188">
        <f>IF(N305=0,0,N305/M307)</f>
        <v>0</v>
      </c>
    </row>
    <row r="308" spans="2:19" x14ac:dyDescent="0.35">
      <c r="C308" s="37"/>
      <c r="F308" s="97"/>
      <c r="G308" s="38"/>
      <c r="H308" s="47"/>
      <c r="I308" s="188"/>
      <c r="J308" s="47"/>
      <c r="K308" s="188"/>
      <c r="L308" s="67"/>
      <c r="M308" s="98"/>
      <c r="N308" s="188"/>
    </row>
    <row r="309" spans="2:19" x14ac:dyDescent="0.35">
      <c r="C309" s="17" t="s">
        <v>158</v>
      </c>
      <c r="F309" s="97"/>
      <c r="G309" s="38"/>
      <c r="H309" s="47"/>
      <c r="I309" s="188"/>
      <c r="J309" s="47"/>
      <c r="K309" s="42"/>
      <c r="L309" s="67"/>
      <c r="M309" s="98"/>
      <c r="N309" s="41"/>
    </row>
    <row r="310" spans="2:19" x14ac:dyDescent="0.35">
      <c r="F310" s="97"/>
      <c r="H310" s="43"/>
      <c r="I310" s="67"/>
      <c r="J310" s="67"/>
      <c r="K310" s="67"/>
      <c r="L310" s="67"/>
      <c r="M310" s="43"/>
      <c r="N310" s="67"/>
    </row>
    <row r="311" spans="2:19" ht="16" thickBot="1" x14ac:dyDescent="0.4">
      <c r="C311" s="37" t="s">
        <v>163</v>
      </c>
      <c r="F311" s="49"/>
      <c r="I311" s="51">
        <f>I307+I309</f>
        <v>0</v>
      </c>
      <c r="K311" s="51">
        <f>K307+K309</f>
        <v>0</v>
      </c>
      <c r="M311" s="5"/>
      <c r="N311" s="51">
        <f>N307+N309</f>
        <v>0</v>
      </c>
      <c r="Q311" s="5"/>
      <c r="R311" s="5"/>
      <c r="S311" s="5"/>
    </row>
    <row r="312" spans="2:19" ht="16" thickTop="1" x14ac:dyDescent="0.35">
      <c r="F312" s="49"/>
      <c r="M312" s="5"/>
      <c r="N312" s="5"/>
      <c r="Q312" s="5"/>
      <c r="R312" s="5"/>
      <c r="S312" s="5"/>
    </row>
    <row r="313" spans="2:19" x14ac:dyDescent="0.35">
      <c r="C313" s="17" t="s">
        <v>34</v>
      </c>
      <c r="F313" s="97"/>
      <c r="H313" s="43"/>
      <c r="I313" s="79">
        <v>0</v>
      </c>
      <c r="J313" s="79"/>
      <c r="K313" s="79">
        <v>0</v>
      </c>
      <c r="L313" s="67"/>
      <c r="M313" s="43"/>
      <c r="N313" s="67">
        <f>I313</f>
        <v>0</v>
      </c>
    </row>
    <row r="314" spans="2:19" x14ac:dyDescent="0.35">
      <c r="C314" s="17" t="s">
        <v>35</v>
      </c>
      <c r="F314" s="97"/>
      <c r="H314" s="43"/>
      <c r="I314" s="79">
        <v>0</v>
      </c>
      <c r="J314" s="79"/>
      <c r="K314" s="79">
        <v>0</v>
      </c>
      <c r="L314" s="79"/>
      <c r="M314" s="43"/>
      <c r="N314" s="67">
        <f>I314</f>
        <v>0</v>
      </c>
    </row>
    <row r="315" spans="2:19" x14ac:dyDescent="0.35">
      <c r="C315" s="17" t="s">
        <v>31</v>
      </c>
      <c r="I315" s="79">
        <v>0</v>
      </c>
      <c r="J315" s="79"/>
      <c r="K315" s="79">
        <v>0</v>
      </c>
      <c r="L315" s="79"/>
      <c r="M315" s="5"/>
      <c r="N315" s="79">
        <f>K315</f>
        <v>0</v>
      </c>
    </row>
    <row r="316" spans="2:19" x14ac:dyDescent="0.35">
      <c r="I316" s="79"/>
      <c r="J316" s="79"/>
      <c r="K316" s="79"/>
      <c r="L316" s="67"/>
      <c r="M316" s="5"/>
      <c r="N316" s="5"/>
    </row>
    <row r="317" spans="2:19" ht="16" thickBot="1" x14ac:dyDescent="0.4">
      <c r="B317" s="37" t="s">
        <v>152</v>
      </c>
      <c r="C317" s="39"/>
      <c r="F317" s="103"/>
      <c r="I317" s="107">
        <f>SUM(I311:I315)</f>
        <v>0</v>
      </c>
      <c r="J317" s="104"/>
      <c r="K317" s="107">
        <f>SUM(K311:K315)</f>
        <v>0</v>
      </c>
      <c r="L317" s="79"/>
      <c r="M317" s="5"/>
      <c r="N317" s="107">
        <f>SUM(N311:N315)</f>
        <v>0</v>
      </c>
    </row>
    <row r="318" spans="2:19" ht="16" thickTop="1" x14ac:dyDescent="0.35">
      <c r="C318" s="114"/>
      <c r="F318" s="103"/>
      <c r="H318" s="62"/>
      <c r="I318" s="79"/>
      <c r="J318" s="79"/>
      <c r="K318" s="79"/>
      <c r="L318" s="6"/>
      <c r="M318" s="5"/>
      <c r="N318" s="5"/>
    </row>
    <row r="319" spans="2:19" x14ac:dyDescent="0.35">
      <c r="C319" s="46" t="s">
        <v>201</v>
      </c>
      <c r="F319" s="103"/>
      <c r="H319" s="62"/>
      <c r="I319" s="6"/>
      <c r="J319" s="6"/>
      <c r="K319" s="6"/>
      <c r="L319" s="79"/>
      <c r="M319" s="5"/>
      <c r="N319" s="67">
        <f>N317-I317</f>
        <v>0</v>
      </c>
    </row>
    <row r="320" spans="2:19" x14ac:dyDescent="0.35">
      <c r="B320" s="6"/>
      <c r="C320" s="6"/>
      <c r="D320" s="6"/>
      <c r="E320" s="50"/>
      <c r="F320" s="50"/>
      <c r="G320" s="50"/>
      <c r="H320" s="6"/>
      <c r="M320" s="5"/>
      <c r="N320" s="115">
        <f>IF(N319=0,0,N319/I317)</f>
        <v>0</v>
      </c>
    </row>
    <row r="323" spans="9:11" x14ac:dyDescent="0.35">
      <c r="I323" s="41"/>
      <c r="J323" s="41"/>
      <c r="K323" s="41"/>
    </row>
    <row r="326" spans="9:11" x14ac:dyDescent="0.35">
      <c r="I326" s="67"/>
      <c r="J326" s="67"/>
      <c r="K326" s="67"/>
    </row>
  </sheetData>
  <mergeCells count="8">
    <mergeCell ref="M11:N11"/>
    <mergeCell ref="B1:N1"/>
    <mergeCell ref="B2:N2"/>
    <mergeCell ref="B3:N3"/>
    <mergeCell ref="B4:N4"/>
    <mergeCell ref="B5:N5"/>
    <mergeCell ref="H11:I11"/>
    <mergeCell ref="J11:K11"/>
  </mergeCells>
  <printOptions horizontalCentered="1"/>
  <pageMargins left="0.75" right="0.75" top="1" bottom="0.5" header="0.75" footer="0.25"/>
  <pageSetup scale="54" firstPageNumber="2" fitToHeight="0" orientation="landscape" blackAndWhite="1" useFirstPageNumber="1" r:id="rId1"/>
  <headerFooter scaleWithDoc="0">
    <oddHeader xml:space="preserve">&amp;C&amp;"Times New Roman,Bold"&amp;12
</oddHeader>
    <oddFooter>&amp;R&amp;"Times New Roman,Bold"&amp;12Stipulation Exhibit 4
Page &amp;P of 11</oddFooter>
  </headerFooter>
  <rowBreaks count="9" manualBreakCount="9">
    <brk id="37" min="1" max="11" man="1"/>
    <brk id="79" min="1" max="11" man="1"/>
    <brk id="120" min="1" max="11" man="1"/>
    <brk id="155" min="1" max="11" man="1"/>
    <brk id="184" min="1" max="11" man="1"/>
    <brk id="208" min="1" max="11" man="1"/>
    <brk id="247" min="1" max="13" man="1"/>
    <brk id="271" max="16383" man="1"/>
    <brk id="295" max="16383" man="1"/>
  </rowBreaks>
  <colBreaks count="1" manualBreakCount="1">
    <brk id="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0465c2eaab3bb1bd9094b9ee88cf7ab4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e14687813701f2e93e2ae4210dcf35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1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54fcda00-7b58-44a7-b108-8bd10a8a08ba">State Regulation &amp; Rates</Depart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Post Hearing 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018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Props1.xml><?xml version="1.0" encoding="utf-8"?>
<ds:datastoreItem xmlns:ds="http://schemas.openxmlformats.org/officeDocument/2006/customXml" ds:itemID="{BAFE42C9-3CEB-475D-9BCC-4CF355A0782C}"/>
</file>

<file path=customXml/itemProps2.xml><?xml version="1.0" encoding="utf-8"?>
<ds:datastoreItem xmlns:ds="http://schemas.openxmlformats.org/officeDocument/2006/customXml" ds:itemID="{DCC714E4-15A7-46D6-8875-C73BD28B6309}">
  <ds:schemaRefs/>
</ds:datastoreItem>
</file>

<file path=customXml/itemProps3.xml><?xml version="1.0" encoding="utf-8"?>
<ds:datastoreItem xmlns:ds="http://schemas.openxmlformats.org/officeDocument/2006/customXml" ds:itemID="{91694DE7-3A8B-46F1-859E-33B889A9877E}">
  <ds:schemaRefs>
    <ds:schemaRef ds:uri="http://schemas.microsoft.com/office/infopath/2007/PartnerControls"/>
    <ds:schemaRef ds:uri="http://purl.org/dc/terms/"/>
    <ds:schemaRef ds:uri="54fcda00-7b58-44a7-b108-8bd10a8a08b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EB0E25B-6615-4C42-8C02-1932B1F9C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5011F30-B887-41A7-8F25-C8C9AC7C7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Index</vt:lpstr>
      <vt:lpstr>Sch M-2.1-G</vt:lpstr>
      <vt:lpstr>Sch M-2.2-G</vt:lpstr>
      <vt:lpstr>Sch M-2.3 Pg.1</vt:lpstr>
      <vt:lpstr>Sch M-2.3 Pg. 2-11</vt:lpstr>
      <vt:lpstr>Index!Print_Area</vt:lpstr>
      <vt:lpstr>'Sch M-2.1-G'!Print_Area</vt:lpstr>
      <vt:lpstr>'Sch M-2.2-G'!Print_Area</vt:lpstr>
      <vt:lpstr>'Sch M-2.3 Pg. 2-11'!Print_Area</vt:lpstr>
      <vt:lpstr>'Sch M-2.3 Pg.1'!Print_Area</vt:lpstr>
      <vt:lpstr>'Sch M-2.3 Pg. 2-11'!Print_Titles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2014-11-26T16:25:59Z</dcterms:created>
  <dcterms:modified xsi:type="dcterms:W3CDTF">2021-05-05T20:29:21Z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2020-09-28T17:22:18Z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773712a5-d294-43dd-8713-00006bcb55a3</vt:lpwstr>
  </property>
  <property fmtid="{D5CDD505-2E9C-101B-9397-08002B2CF9AE}" pid="9" name="MSIP_Label_0adee1c6-0c13-46fe-9f7d-d5b32ad2c571_ContentBits">
    <vt:lpwstr>0</vt:lpwstr>
  </property>
</Properties>
</file>