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246" documentId="8_{133CA084-A78D-465C-99E6-D5E63E901FA4}" xr6:coauthVersionLast="46" xr6:coauthVersionMax="46" xr10:uidLastSave="{12C1F08D-2B21-42BC-BEFB-21A986F4CF48}"/>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'WSS-28'!$F$4:$W$970</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7" i="33" l="1"/>
  <c r="D8" i="8"/>
  <c r="H938" i="2"/>
  <c r="H931" i="2"/>
  <c r="H924" i="2"/>
  <c r="H917" i="2"/>
  <c r="H910" i="2"/>
  <c r="H903" i="2"/>
  <c r="H958" i="2"/>
  <c r="G958" i="2"/>
  <c r="H957" i="2"/>
  <c r="G957" i="2"/>
  <c r="H956" i="2"/>
  <c r="G956" i="2"/>
  <c r="H955" i="2"/>
  <c r="G955" i="2"/>
  <c r="H820" i="2"/>
  <c r="E12" i="6"/>
  <c r="H842" i="2"/>
  <c r="G842" i="2" s="1"/>
  <c r="H830" i="2"/>
  <c r="H826" i="2"/>
  <c r="H825" i="2"/>
  <c r="H857" i="2"/>
  <c r="H856" i="2"/>
  <c r="H855" i="2"/>
  <c r="H854" i="2"/>
  <c r="H853" i="2"/>
  <c r="D10" i="8"/>
  <c r="C8" i="8" l="1"/>
  <c r="B8" i="8"/>
  <c r="B10" i="8"/>
  <c r="D12" i="7"/>
  <c r="E12" i="7" s="1"/>
  <c r="C12" i="7"/>
  <c r="G12" i="6"/>
  <c r="D12" i="6"/>
  <c r="C12" i="6"/>
  <c r="H895" i="2"/>
  <c r="H888" i="2"/>
  <c r="H881" i="2"/>
  <c r="H874" i="2"/>
  <c r="H867" i="2"/>
  <c r="H860" i="2"/>
  <c r="H850" i="2"/>
  <c r="H831" i="2"/>
  <c r="H832" i="2" s="1"/>
  <c r="H827" i="2"/>
  <c r="H815" i="2" s="1"/>
  <c r="H821" i="2"/>
  <c r="H785" i="2"/>
  <c r="H784" i="2"/>
  <c r="H843" i="2" l="1"/>
  <c r="H844" i="2" s="1"/>
  <c r="H848" i="2"/>
  <c r="H847" i="2"/>
  <c r="H849" i="2"/>
  <c r="H846" i="2"/>
  <c r="H835" i="2"/>
  <c r="H833" i="2"/>
  <c r="H822" i="2" s="1"/>
  <c r="H836" i="2"/>
  <c r="H946" i="2" s="1"/>
  <c r="H949" i="2" s="1"/>
  <c r="H950" i="2" s="1"/>
  <c r="H951" i="2" s="1"/>
  <c r="H838" i="2" l="1"/>
  <c r="H818" i="2" s="1"/>
  <c r="H837" i="2"/>
  <c r="H839" i="2" s="1"/>
  <c r="H823" i="2"/>
  <c r="H664" i="2" l="1"/>
  <c r="H663" i="2"/>
  <c r="H662" i="2"/>
  <c r="H661" i="2"/>
  <c r="H660" i="2"/>
  <c r="H656" i="2"/>
  <c r="H655" i="2"/>
  <c r="H654" i="2"/>
  <c r="H652" i="2"/>
  <c r="H634" i="2"/>
  <c r="H631" i="2"/>
  <c r="H628" i="2"/>
  <c r="H625" i="2"/>
  <c r="H622" i="2"/>
  <c r="H615" i="2"/>
  <c r="H614" i="2"/>
  <c r="H610" i="2"/>
  <c r="H609" i="2"/>
  <c r="H608" i="2"/>
  <c r="H607" i="2"/>
  <c r="H606" i="2"/>
  <c r="H603" i="2"/>
  <c r="H600" i="2"/>
  <c r="H590" i="2"/>
  <c r="H589" i="2"/>
  <c r="H588" i="2"/>
  <c r="H572" i="2"/>
  <c r="H569" i="2"/>
  <c r="H566" i="2"/>
  <c r="H563" i="2"/>
  <c r="H560" i="2"/>
  <c r="H553" i="2"/>
  <c r="H552" i="2"/>
  <c r="H548" i="2"/>
  <c r="H547" i="2"/>
  <c r="H546" i="2"/>
  <c r="H545" i="2"/>
  <c r="H544" i="2"/>
  <c r="H541" i="2"/>
  <c r="H538" i="2"/>
  <c r="H528" i="2"/>
  <c r="H527" i="2"/>
  <c r="H526" i="2"/>
  <c r="H514" i="2"/>
  <c r="H511" i="2"/>
  <c r="H508" i="2"/>
  <c r="H505" i="2"/>
  <c r="H502" i="2"/>
  <c r="H495" i="2"/>
  <c r="H494" i="2"/>
  <c r="H490" i="2"/>
  <c r="H489" i="2"/>
  <c r="H488" i="2"/>
  <c r="H487" i="2"/>
  <c r="H486" i="2"/>
  <c r="H483" i="2"/>
  <c r="H480" i="2"/>
  <c r="H470" i="2"/>
  <c r="H469" i="2"/>
  <c r="H468" i="2"/>
  <c r="H457" i="2"/>
  <c r="H454" i="2"/>
  <c r="H451" i="2"/>
  <c r="H448" i="2"/>
  <c r="H438" i="2"/>
  <c r="H437" i="2"/>
  <c r="H433" i="2"/>
  <c r="H432" i="2"/>
  <c r="H431" i="2"/>
  <c r="H430" i="2"/>
  <c r="H429" i="2"/>
  <c r="H426" i="2"/>
  <c r="H423" i="2"/>
  <c r="H413" i="2"/>
  <c r="H412" i="2"/>
  <c r="H411" i="2"/>
  <c r="H400" i="2"/>
  <c r="H397" i="2"/>
  <c r="H394" i="2"/>
  <c r="H391" i="2"/>
  <c r="H388" i="2"/>
  <c r="H381" i="2"/>
  <c r="H380" i="2"/>
  <c r="H376" i="2"/>
  <c r="H375" i="2"/>
  <c r="H374" i="2"/>
  <c r="H373" i="2"/>
  <c r="H372" i="2"/>
  <c r="H369" i="2"/>
  <c r="H366" i="2"/>
  <c r="H356" i="2"/>
  <c r="H355" i="2"/>
  <c r="H354" i="2"/>
  <c r="H343" i="2"/>
  <c r="H340" i="2"/>
  <c r="H337" i="2"/>
  <c r="H334" i="2"/>
  <c r="H324" i="2"/>
  <c r="H323" i="2"/>
  <c r="H319" i="2"/>
  <c r="H318" i="2"/>
  <c r="H317" i="2"/>
  <c r="H316" i="2"/>
  <c r="H315" i="2"/>
  <c r="H312" i="2"/>
  <c r="H309" i="2"/>
  <c r="H299" i="2"/>
  <c r="H298" i="2"/>
  <c r="H297" i="2"/>
  <c r="H286" i="2"/>
  <c r="H283" i="2"/>
  <c r="H280" i="2"/>
  <c r="H277" i="2"/>
  <c r="H274" i="2"/>
  <c r="H267" i="2"/>
  <c r="H266" i="2"/>
  <c r="H262" i="2"/>
  <c r="H261" i="2"/>
  <c r="H260" i="2"/>
  <c r="H259" i="2"/>
  <c r="H258" i="2"/>
  <c r="H255" i="2"/>
  <c r="H252" i="2"/>
  <c r="H242" i="2"/>
  <c r="H241" i="2"/>
  <c r="H240" i="2"/>
  <c r="H229" i="2"/>
  <c r="H226" i="2"/>
  <c r="H223" i="2"/>
  <c r="H220" i="2"/>
  <c r="H210" i="2"/>
  <c r="H209" i="2"/>
  <c r="H205" i="2"/>
  <c r="H204" i="2"/>
  <c r="H203" i="2"/>
  <c r="H202" i="2"/>
  <c r="H201" i="2"/>
  <c r="H198" i="2"/>
  <c r="H195" i="2"/>
  <c r="H185" i="2"/>
  <c r="H184" i="2"/>
  <c r="H183" i="2"/>
  <c r="H172" i="2"/>
  <c r="H169" i="2"/>
  <c r="H166" i="2"/>
  <c r="H163" i="2"/>
  <c r="H153" i="2"/>
  <c r="H152" i="2"/>
  <c r="H148" i="2"/>
  <c r="H147" i="2"/>
  <c r="H146" i="2"/>
  <c r="H145" i="2"/>
  <c r="H144" i="2"/>
  <c r="H141" i="2"/>
  <c r="H138" i="2"/>
  <c r="H128" i="2"/>
  <c r="H127" i="2"/>
  <c r="H126" i="2"/>
  <c r="H115" i="2"/>
  <c r="H112" i="2"/>
  <c r="H109" i="2"/>
  <c r="H106" i="2"/>
  <c r="H96" i="2"/>
  <c r="H95" i="2"/>
  <c r="H91" i="2"/>
  <c r="H90" i="2"/>
  <c r="H89" i="2"/>
  <c r="H88" i="2"/>
  <c r="H87" i="2"/>
  <c r="H84" i="2"/>
  <c r="H81" i="2"/>
  <c r="H71" i="2"/>
  <c r="H70" i="2"/>
  <c r="H69" i="2"/>
  <c r="H57" i="2"/>
  <c r="H54" i="2"/>
  <c r="H51" i="2"/>
  <c r="H48" i="2"/>
  <c r="H38" i="2"/>
  <c r="H37" i="2"/>
  <c r="H33" i="2"/>
  <c r="H32" i="2"/>
  <c r="H31" i="2"/>
  <c r="H30" i="2"/>
  <c r="H29" i="2"/>
  <c r="H26" i="2"/>
  <c r="H23" i="2"/>
  <c r="H11" i="2"/>
  <c r="G1" i="2"/>
  <c r="H1" i="2" s="1"/>
  <c r="I1" i="2" s="1"/>
  <c r="J1" i="2" s="1"/>
  <c r="V564" i="1"/>
  <c r="H382" i="2" l="1"/>
  <c r="H439" i="2"/>
  <c r="H496" i="2"/>
  <c r="H616" i="2"/>
  <c r="H325" i="2"/>
  <c r="H154" i="2"/>
  <c r="H491" i="2"/>
  <c r="H554" i="2"/>
  <c r="H206" i="2"/>
  <c r="H211" i="2"/>
  <c r="H263" i="2"/>
  <c r="H268" i="2"/>
  <c r="H549" i="2"/>
  <c r="H611" i="2"/>
  <c r="H320" i="2"/>
  <c r="H377" i="2"/>
  <c r="H149" i="2"/>
  <c r="H434" i="2"/>
  <c r="H92" i="2"/>
  <c r="H39" i="2"/>
  <c r="H97" i="2"/>
  <c r="H34" i="2"/>
  <c r="A58" i="33"/>
  <c r="A59" i="33"/>
  <c r="A60" i="33"/>
  <c r="A61" i="33"/>
  <c r="A62" i="33"/>
  <c r="A63" i="33"/>
  <c r="A64" i="33"/>
  <c r="A65" i="33"/>
  <c r="A66" i="33"/>
  <c r="A67" i="33"/>
  <c r="A68" i="33"/>
  <c r="A69" i="33"/>
  <c r="A70" i="33"/>
  <c r="A71" i="33"/>
  <c r="A72" i="33"/>
  <c r="A56" i="33"/>
  <c r="E799" i="2" l="1"/>
  <c r="F114" i="1" l="1"/>
  <c r="W946" i="2" l="1"/>
  <c r="U948" i="2" l="1"/>
  <c r="X948" i="2" l="1"/>
  <c r="Y948" i="2" s="1"/>
  <c r="Z948"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7" i="2" l="1"/>
  <c r="V883" i="2" l="1"/>
  <c r="W862" i="2"/>
  <c r="W869" i="2" s="1"/>
  <c r="W876" i="2" s="1"/>
  <c r="W890" i="2"/>
  <c r="V890" i="2"/>
  <c r="V862" i="2"/>
  <c r="V869" i="2" s="1"/>
  <c r="A42" i="7"/>
  <c r="E46" i="6"/>
  <c r="G46" i="6" s="1"/>
  <c r="D42" i="7" l="1"/>
  <c r="E42" i="7" s="1"/>
  <c r="V876" i="2"/>
  <c r="W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0" i="2" l="1"/>
  <c r="N970" i="2"/>
  <c r="P968" i="2"/>
  <c r="O968" i="2"/>
  <c r="N968" i="2"/>
  <c r="N653" i="2"/>
  <c r="O653" i="2"/>
  <c r="P653" i="2"/>
  <c r="E20" i="6"/>
  <c r="E18" i="6"/>
  <c r="E16" i="6"/>
  <c r="E14" i="6"/>
  <c r="W825" i="2"/>
  <c r="D12" i="8"/>
  <c r="F41" i="8" l="1"/>
  <c r="E41" i="8"/>
  <c r="D41" i="8"/>
  <c r="F157" i="1" l="1"/>
  <c r="F133" i="1"/>
  <c r="F128" i="1"/>
  <c r="F116" i="1"/>
  <c r="F37" i="1"/>
  <c r="W566" i="1" l="1"/>
  <c r="V566" i="1"/>
  <c r="Y564" i="1"/>
  <c r="X564" i="1"/>
  <c r="W564" i="1"/>
  <c r="X566" i="1"/>
  <c r="Y566" i="1"/>
  <c r="U912" i="2" l="1"/>
  <c r="U919" i="2" s="1"/>
  <c r="F897" i="2" l="1"/>
  <c r="U940" i="2" l="1"/>
  <c r="U842" i="2" l="1"/>
  <c r="U846" i="2" s="1"/>
  <c r="R842" i="2"/>
  <c r="L842" i="2"/>
  <c r="K842" i="2"/>
  <c r="J842" i="2"/>
  <c r="M842" i="2"/>
  <c r="N842" i="2"/>
  <c r="S842" i="2"/>
  <c r="O842" i="2"/>
  <c r="U847" i="2" l="1"/>
  <c r="U849" i="2"/>
  <c r="U850" i="2"/>
  <c r="F661" i="2"/>
  <c r="G36" i="8" l="1"/>
  <c r="G32" i="8"/>
  <c r="G30" i="8"/>
  <c r="G28" i="8"/>
  <c r="G41" i="8" l="1"/>
  <c r="F156" i="1"/>
  <c r="B28" i="8" l="1"/>
  <c r="B34" i="8"/>
  <c r="B32" i="8"/>
  <c r="B30" i="8"/>
  <c r="B26" i="8"/>
  <c r="B24" i="8"/>
  <c r="B22" i="8"/>
  <c r="B20" i="8"/>
  <c r="C20" i="8"/>
  <c r="C18" i="8"/>
  <c r="B18" i="8"/>
  <c r="C16" i="8"/>
  <c r="B16" i="8"/>
  <c r="C14" i="8"/>
  <c r="C12" i="8"/>
  <c r="B14" i="8"/>
  <c r="B12" i="8"/>
  <c r="B41" i="8" s="1"/>
  <c r="C41" i="8" l="1"/>
  <c r="C16" i="7"/>
  <c r="C36" i="7"/>
  <c r="D40" i="6" l="1"/>
  <c r="D38" i="6"/>
  <c r="D36" i="6"/>
  <c r="U783" i="2" l="1"/>
  <c r="X783" i="2" s="1"/>
  <c r="Y783" i="2" s="1"/>
  <c r="F797" i="2"/>
  <c r="F796" i="2" l="1"/>
  <c r="X782" i="2" l="1"/>
  <c r="Y782"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0" i="2" l="1"/>
  <c r="Y940" i="2" s="1"/>
  <c r="Z940" i="2" s="1"/>
  <c r="T850" i="2" l="1"/>
  <c r="S846" i="2"/>
  <c r="R843" i="2"/>
  <c r="R844" i="2" s="1"/>
  <c r="P842" i="2"/>
  <c r="P843" i="2" s="1"/>
  <c r="P844" i="2" s="1"/>
  <c r="O846" i="2"/>
  <c r="M847" i="2"/>
  <c r="N847" i="2"/>
  <c r="M846" i="2"/>
  <c r="K850" i="2"/>
  <c r="L847" i="2"/>
  <c r="S843" i="2"/>
  <c r="S844" i="2" s="1"/>
  <c r="S847" i="2" s="1"/>
  <c r="M843" i="2"/>
  <c r="M844" i="2" s="1"/>
  <c r="J843" i="2"/>
  <c r="J844" i="2" s="1"/>
  <c r="I848" i="2"/>
  <c r="G847" i="2"/>
  <c r="L843" i="2" l="1"/>
  <c r="L844" i="2" s="1"/>
  <c r="P846" i="2"/>
  <c r="M849" i="2"/>
  <c r="K843" i="2"/>
  <c r="K844" i="2" s="1"/>
  <c r="P847" i="2"/>
  <c r="I850" i="2"/>
  <c r="L846" i="2"/>
  <c r="N846" i="2"/>
  <c r="T846" i="2"/>
  <c r="I846" i="2"/>
  <c r="T847" i="2"/>
  <c r="I843" i="2"/>
  <c r="I844" i="2" s="1"/>
  <c r="I849" i="2"/>
  <c r="T843" i="2"/>
  <c r="T844" i="2" s="1"/>
  <c r="M850" i="2"/>
  <c r="T849" i="2"/>
  <c r="R848" i="2"/>
  <c r="R849" i="2"/>
  <c r="R847" i="2"/>
  <c r="R850" i="2"/>
  <c r="S848" i="2"/>
  <c r="G843" i="2"/>
  <c r="G844" i="2" s="1"/>
  <c r="L849" i="2"/>
  <c r="R846" i="2"/>
  <c r="S849" i="2"/>
  <c r="G846" i="2"/>
  <c r="G850" i="2"/>
  <c r="I847" i="2"/>
  <c r="N843" i="2"/>
  <c r="N844" i="2" s="1"/>
  <c r="K846" i="2"/>
  <c r="N849" i="2"/>
  <c r="S850" i="2"/>
  <c r="G848" i="2"/>
  <c r="G849" i="2"/>
  <c r="O843" i="2"/>
  <c r="O844" i="2" s="1"/>
  <c r="O847" i="2"/>
  <c r="K847" i="2"/>
  <c r="K849" i="2"/>
  <c r="X912" i="2"/>
  <c r="Y912" i="2" s="1"/>
  <c r="Z912" i="2" s="1"/>
  <c r="X933" i="2" l="1"/>
  <c r="Y933" i="2" s="1"/>
  <c r="Z933" i="2" s="1"/>
  <c r="X926" i="2"/>
  <c r="Y926" i="2" s="1"/>
  <c r="Z926" i="2" s="1"/>
  <c r="X919" i="2"/>
  <c r="Y919" i="2" s="1"/>
  <c r="Z919" i="2" s="1"/>
  <c r="X876" i="2"/>
  <c r="Y876" i="2" s="1"/>
  <c r="Z876" i="2" s="1"/>
  <c r="W895" i="2"/>
  <c r="W860" i="2"/>
  <c r="W867" i="2"/>
  <c r="W874" i="2"/>
  <c r="W881" i="2"/>
  <c r="W888" i="2"/>
  <c r="X890" i="2"/>
  <c r="Y890" i="2" s="1"/>
  <c r="Z890" i="2" s="1"/>
  <c r="X883" i="2"/>
  <c r="Y883" i="2" s="1"/>
  <c r="Z883" i="2" s="1"/>
  <c r="X869" i="2" l="1"/>
  <c r="Y869" i="2" s="1"/>
  <c r="Z869" i="2" s="1"/>
  <c r="X905" i="2"/>
  <c r="Y905" i="2" s="1"/>
  <c r="Z905" i="2" s="1"/>
  <c r="X897" i="2"/>
  <c r="Y897" i="2" s="1"/>
  <c r="Z897" i="2" s="1"/>
  <c r="X862" i="2"/>
  <c r="Y862" i="2" s="1"/>
  <c r="Z862" i="2" s="1"/>
  <c r="N969" i="2"/>
  <c r="P970" i="2"/>
  <c r="X968" i="2" l="1"/>
  <c r="Y968" i="2" s="1"/>
  <c r="X970" i="2"/>
  <c r="Y970" i="2" s="1"/>
  <c r="O969" i="2"/>
  <c r="F737" i="2"/>
  <c r="X960" i="2" l="1"/>
  <c r="Y960" i="2" s="1"/>
  <c r="Z960" i="2" s="1"/>
  <c r="V962" i="2"/>
  <c r="U962" i="2"/>
  <c r="T962" i="2"/>
  <c r="S962" i="2"/>
  <c r="R962" i="2"/>
  <c r="Q962" i="2"/>
  <c r="P962" i="2"/>
  <c r="O962" i="2"/>
  <c r="N962" i="2"/>
  <c r="M962" i="2"/>
  <c r="L962" i="2"/>
  <c r="K962" i="2"/>
  <c r="J962" i="2"/>
  <c r="I962" i="2"/>
  <c r="G962" i="2"/>
  <c r="F663" i="2"/>
  <c r="F666" i="2" l="1"/>
  <c r="U666" i="2" s="1"/>
  <c r="F664" i="2"/>
  <c r="F662" i="2"/>
  <c r="F660" i="2"/>
  <c r="F659" i="2"/>
  <c r="F658" i="2"/>
  <c r="F657" i="2"/>
  <c r="F656" i="2"/>
  <c r="F655" i="2"/>
  <c r="F654" i="2"/>
  <c r="V681" i="2"/>
  <c r="W681" i="2"/>
  <c r="W861" i="2"/>
  <c r="V819" i="2"/>
  <c r="W819" i="2"/>
  <c r="V820" i="2"/>
  <c r="W820" i="2"/>
  <c r="W827" i="2"/>
  <c r="V857" i="2"/>
  <c r="U857" i="2"/>
  <c r="T857" i="2"/>
  <c r="S857" i="2"/>
  <c r="R857" i="2"/>
  <c r="Q857" i="2"/>
  <c r="P857" i="2"/>
  <c r="O857" i="2"/>
  <c r="N857" i="2"/>
  <c r="M857" i="2"/>
  <c r="L857" i="2"/>
  <c r="K857" i="2"/>
  <c r="J857" i="2"/>
  <c r="I857" i="2"/>
  <c r="G857" i="2"/>
  <c r="J881" i="2" l="1"/>
  <c r="J888" i="2"/>
  <c r="J895" i="2"/>
  <c r="V888" i="2"/>
  <c r="V895" i="2"/>
  <c r="V881" i="2"/>
  <c r="V860" i="2"/>
  <c r="K888" i="2"/>
  <c r="K895" i="2"/>
  <c r="K881" i="2"/>
  <c r="O888" i="2"/>
  <c r="O895" i="2"/>
  <c r="O881" i="2"/>
  <c r="S888" i="2"/>
  <c r="S895" i="2"/>
  <c r="S881" i="2"/>
  <c r="R895" i="2"/>
  <c r="R881" i="2"/>
  <c r="R888" i="2"/>
  <c r="G895" i="2"/>
  <c r="G881" i="2"/>
  <c r="G888" i="2"/>
  <c r="L895" i="2"/>
  <c r="L881" i="2"/>
  <c r="L888" i="2"/>
  <c r="P895" i="2"/>
  <c r="P881" i="2"/>
  <c r="P888" i="2"/>
  <c r="T895" i="2"/>
  <c r="T881" i="2"/>
  <c r="T888" i="2"/>
  <c r="N888" i="2"/>
  <c r="N895" i="2"/>
  <c r="N881" i="2"/>
  <c r="I888" i="2"/>
  <c r="I895" i="2"/>
  <c r="I881" i="2"/>
  <c r="M881" i="2"/>
  <c r="M888" i="2"/>
  <c r="M895" i="2"/>
  <c r="Q888" i="2"/>
  <c r="Q895" i="2"/>
  <c r="Q881" i="2"/>
  <c r="U860" i="2"/>
  <c r="U888" i="2"/>
  <c r="U895" i="2"/>
  <c r="U881" i="2"/>
  <c r="J874" i="2"/>
  <c r="J867" i="2"/>
  <c r="J860" i="2"/>
  <c r="R874" i="2"/>
  <c r="R867" i="2"/>
  <c r="R860" i="2"/>
  <c r="K867" i="2"/>
  <c r="K874" i="2"/>
  <c r="K860" i="2"/>
  <c r="O867" i="2"/>
  <c r="O874" i="2"/>
  <c r="O860" i="2"/>
  <c r="S867" i="2"/>
  <c r="S874" i="2"/>
  <c r="S860" i="2"/>
  <c r="G867" i="2"/>
  <c r="G874" i="2"/>
  <c r="G860" i="2"/>
  <c r="L867" i="2"/>
  <c r="L874" i="2"/>
  <c r="L860" i="2"/>
  <c r="P867" i="2"/>
  <c r="P874" i="2"/>
  <c r="P860" i="2"/>
  <c r="T867" i="2"/>
  <c r="T874" i="2"/>
  <c r="T860" i="2"/>
  <c r="N874" i="2"/>
  <c r="N867" i="2"/>
  <c r="N860" i="2"/>
  <c r="V874" i="2"/>
  <c r="V867" i="2"/>
  <c r="I874" i="2"/>
  <c r="I867" i="2"/>
  <c r="I860" i="2"/>
  <c r="M874" i="2"/>
  <c r="M867" i="2"/>
  <c r="M860" i="2"/>
  <c r="Q874" i="2"/>
  <c r="Q867" i="2"/>
  <c r="Q860" i="2"/>
  <c r="U874" i="2"/>
  <c r="U867" i="2"/>
  <c r="X857" i="2"/>
  <c r="X860" i="2" l="1"/>
  <c r="X867" i="2"/>
  <c r="X874" i="2"/>
  <c r="V855" i="2" l="1"/>
  <c r="U855" i="2"/>
  <c r="T855" i="2"/>
  <c r="M855" i="2"/>
  <c r="K855" i="2"/>
  <c r="J855" i="2"/>
  <c r="I855" i="2"/>
  <c r="I856" i="2" s="1"/>
  <c r="G855" i="2"/>
  <c r="V853" i="2"/>
  <c r="V854" i="2" s="1"/>
  <c r="U853" i="2"/>
  <c r="U854" i="2" s="1"/>
  <c r="T853" i="2"/>
  <c r="T854" i="2" s="1"/>
  <c r="S853" i="2"/>
  <c r="S854" i="2" s="1"/>
  <c r="R853" i="2"/>
  <c r="R854" i="2" s="1"/>
  <c r="Q853" i="2"/>
  <c r="Q854" i="2" s="1"/>
  <c r="P853" i="2"/>
  <c r="O853" i="2"/>
  <c r="N853" i="2"/>
  <c r="N854" i="2" s="1"/>
  <c r="M853" i="2"/>
  <c r="M854" i="2" s="1"/>
  <c r="L853" i="2"/>
  <c r="L854" i="2" s="1"/>
  <c r="K853" i="2"/>
  <c r="K854" i="2" s="1"/>
  <c r="J853" i="2"/>
  <c r="J854" i="2" s="1"/>
  <c r="I853" i="2"/>
  <c r="I854" i="2" s="1"/>
  <c r="G853" i="2"/>
  <c r="G856" i="2" l="1"/>
  <c r="G854" i="2"/>
  <c r="X853" i="2"/>
  <c r="U856" i="2"/>
  <c r="J856" i="2"/>
  <c r="V856" i="2"/>
  <c r="P839" i="2"/>
  <c r="O839" i="2"/>
  <c r="N839" i="2"/>
  <c r="L839" i="2"/>
  <c r="X854" i="2" l="1"/>
  <c r="Y854" i="2" s="1"/>
  <c r="Z854" i="2" s="1"/>
  <c r="V830" i="2"/>
  <c r="V831" i="2" s="1"/>
  <c r="U830" i="2"/>
  <c r="V826" i="2"/>
  <c r="V827" i="2" s="1"/>
  <c r="U826" i="2"/>
  <c r="S826" i="2"/>
  <c r="Q826" i="2"/>
  <c r="I826" i="2"/>
  <c r="G826" i="2"/>
  <c r="W723" i="2"/>
  <c r="W722" i="2"/>
  <c r="W721" i="2"/>
  <c r="W720" i="2"/>
  <c r="V825" i="2"/>
  <c r="U825" i="2"/>
  <c r="T825" i="2"/>
  <c r="S825" i="2"/>
  <c r="R825" i="2"/>
  <c r="Q825" i="2"/>
  <c r="P825" i="2"/>
  <c r="O825" i="2"/>
  <c r="N825" i="2"/>
  <c r="M825" i="2"/>
  <c r="L825" i="2"/>
  <c r="K825" i="2"/>
  <c r="J825" i="2"/>
  <c r="I825" i="2"/>
  <c r="G825" i="2"/>
  <c r="Q827" i="2" l="1"/>
  <c r="U827" i="2"/>
  <c r="V832" i="2"/>
  <c r="V836" i="2" s="1"/>
  <c r="V842" i="2"/>
  <c r="V843" i="2" s="1"/>
  <c r="V844" i="2" s="1"/>
  <c r="X825" i="2"/>
  <c r="V833" i="2"/>
  <c r="S855" i="2"/>
  <c r="S856" i="2" s="1"/>
  <c r="R855" i="2"/>
  <c r="R856" i="2" s="1"/>
  <c r="Q855" i="2"/>
  <c r="V847" i="2" l="1"/>
  <c r="V946" i="2"/>
  <c r="V835" i="2"/>
  <c r="V846" i="2" s="1"/>
  <c r="X855" i="2"/>
  <c r="Y855" i="2" s="1"/>
  <c r="Z855" i="2" s="1"/>
  <c r="Q856" i="2"/>
  <c r="X856" i="2" s="1"/>
  <c r="Y856" i="2" s="1"/>
  <c r="Z856" i="2" s="1"/>
  <c r="V838" i="2"/>
  <c r="V849" i="2" s="1"/>
  <c r="V837" i="2"/>
  <c r="V848" i="2" s="1"/>
  <c r="C40" i="6"/>
  <c r="V839" i="2" l="1"/>
  <c r="V850" i="2" s="1"/>
  <c r="A40" i="6"/>
  <c r="A36" i="7" s="1"/>
  <c r="A40" i="7" l="1"/>
  <c r="A38" i="7"/>
  <c r="E44" i="6"/>
  <c r="G44" i="6" s="1"/>
  <c r="E42" i="6"/>
  <c r="D38" i="7" s="1"/>
  <c r="E38" i="7" s="1"/>
  <c r="L55" i="27"/>
  <c r="L55" i="32" l="1"/>
  <c r="M55" i="32" s="1"/>
  <c r="M59" i="32" s="1"/>
  <c r="V938" i="2"/>
  <c r="V903" i="2"/>
  <c r="V917" i="2"/>
  <c r="V931" i="2"/>
  <c r="V924" i="2"/>
  <c r="V910" i="2"/>
  <c r="D16" i="7"/>
  <c r="M55" i="27"/>
  <c r="M59" i="27" s="1"/>
  <c r="L59" i="27"/>
  <c r="D14" i="7"/>
  <c r="D40" i="7"/>
  <c r="E40" i="7" s="1"/>
  <c r="G42" i="6"/>
  <c r="L59" i="32" l="1"/>
  <c r="U938" i="2"/>
  <c r="U917" i="2"/>
  <c r="U910" i="2"/>
  <c r="U931" i="2"/>
  <c r="U924" i="2"/>
  <c r="U903" i="2"/>
  <c r="Q830" i="2" l="1"/>
  <c r="E34" i="6"/>
  <c r="T826" i="2"/>
  <c r="R826" i="2"/>
  <c r="J830" i="2"/>
  <c r="I830" i="2"/>
  <c r="I51" i="27" s="1"/>
  <c r="R827" i="2" l="1"/>
  <c r="F51" i="26"/>
  <c r="P826" i="2"/>
  <c r="G830" i="2"/>
  <c r="E10" i="6"/>
  <c r="K830" i="2"/>
  <c r="E22" i="6"/>
  <c r="D18" i="7" s="1"/>
  <c r="R830" i="2"/>
  <c r="E36" i="6"/>
  <c r="F51" i="19"/>
  <c r="L826" i="2"/>
  <c r="F51" i="20"/>
  <c r="M826" i="2"/>
  <c r="F51" i="25"/>
  <c r="O826" i="2"/>
  <c r="E51" i="32"/>
  <c r="J826" i="2"/>
  <c r="F51" i="21"/>
  <c r="N826" i="2"/>
  <c r="T830" i="2"/>
  <c r="E40" i="6"/>
  <c r="M830" i="2"/>
  <c r="E26" i="6"/>
  <c r="O830" i="2"/>
  <c r="E30" i="6"/>
  <c r="F51" i="17"/>
  <c r="K826" i="2"/>
  <c r="I51" i="32"/>
  <c r="J51" i="32" s="1"/>
  <c r="L830" i="2"/>
  <c r="E24" i="6"/>
  <c r="N830" i="2"/>
  <c r="E28" i="6"/>
  <c r="P830" i="2"/>
  <c r="E32" i="6"/>
  <c r="S830" i="2"/>
  <c r="E38" i="6"/>
  <c r="F853" i="2"/>
  <c r="F857" i="2"/>
  <c r="F826" i="2"/>
  <c r="H585" i="2" l="1"/>
  <c r="H523" i="2"/>
  <c r="H465" i="2"/>
  <c r="H351" i="2"/>
  <c r="H587" i="2"/>
  <c r="H525" i="2"/>
  <c r="H467" i="2"/>
  <c r="H410" i="2"/>
  <c r="H353" i="2"/>
  <c r="H296" i="2"/>
  <c r="H239" i="2"/>
  <c r="H182" i="2"/>
  <c r="H125" i="2"/>
  <c r="H68" i="2"/>
  <c r="H659" i="2"/>
  <c r="H586" i="2"/>
  <c r="H524" i="2"/>
  <c r="H466" i="2"/>
  <c r="H409" i="2"/>
  <c r="H352" i="2"/>
  <c r="H295" i="2"/>
  <c r="H238" i="2"/>
  <c r="H181" i="2"/>
  <c r="H124" i="2"/>
  <c r="H67" i="2"/>
  <c r="H237" i="2"/>
  <c r="Y853" i="2"/>
  <c r="Z853" i="2" s="1"/>
  <c r="H596" i="2"/>
  <c r="H534" i="2"/>
  <c r="H476" i="2"/>
  <c r="H419" i="2"/>
  <c r="H362" i="2"/>
  <c r="H248" i="2"/>
  <c r="H191" i="2"/>
  <c r="H77" i="2"/>
  <c r="H19" i="2"/>
  <c r="H595" i="2"/>
  <c r="H533" i="2"/>
  <c r="H475" i="2"/>
  <c r="H418" i="2"/>
  <c r="H361" i="2"/>
  <c r="H304" i="2"/>
  <c r="H247" i="2"/>
  <c r="H190" i="2"/>
  <c r="H133" i="2"/>
  <c r="H76" i="2"/>
  <c r="H18" i="2"/>
  <c r="H594" i="2"/>
  <c r="H532" i="2"/>
  <c r="H474" i="2"/>
  <c r="H417" i="2"/>
  <c r="H303" i="2"/>
  <c r="H246" i="2"/>
  <c r="H189" i="2"/>
  <c r="H132" i="2"/>
  <c r="H75" i="2"/>
  <c r="H17" i="2"/>
  <c r="H305" i="2"/>
  <c r="H134" i="2"/>
  <c r="H360" i="2"/>
  <c r="H363" i="2" s="1"/>
  <c r="O827" i="2"/>
  <c r="L827" i="2"/>
  <c r="P827" i="2"/>
  <c r="J958" i="2"/>
  <c r="M955" i="2"/>
  <c r="M958" i="2"/>
  <c r="M957" i="2"/>
  <c r="M956" i="2"/>
  <c r="P956" i="2"/>
  <c r="P955" i="2"/>
  <c r="P957" i="2"/>
  <c r="P958" i="2"/>
  <c r="L956" i="2"/>
  <c r="L957" i="2"/>
  <c r="L955" i="2"/>
  <c r="L958" i="2"/>
  <c r="J955" i="2"/>
  <c r="O958" i="2"/>
  <c r="O956" i="2"/>
  <c r="O955" i="2"/>
  <c r="O957" i="2"/>
  <c r="J956" i="2"/>
  <c r="N957" i="2"/>
  <c r="N958" i="2"/>
  <c r="N956" i="2"/>
  <c r="N955" i="2"/>
  <c r="K958" i="2"/>
  <c r="K955" i="2"/>
  <c r="K957" i="2"/>
  <c r="K956" i="2"/>
  <c r="J957" i="2"/>
  <c r="X826" i="2"/>
  <c r="Y826" i="2" s="1"/>
  <c r="Z826" i="2" s="1"/>
  <c r="I51" i="19"/>
  <c r="J51" i="19" s="1"/>
  <c r="D36" i="7"/>
  <c r="E36" i="7" s="1"/>
  <c r="G40" i="6"/>
  <c r="I51" i="25"/>
  <c r="J51" i="25" s="1"/>
  <c r="F51" i="32"/>
  <c r="G51" i="32"/>
  <c r="H51" i="32"/>
  <c r="I51" i="14"/>
  <c r="X830" i="2"/>
  <c r="Y830" i="2" s="1"/>
  <c r="Z830" i="2" s="1"/>
  <c r="I51" i="26"/>
  <c r="J51" i="26" s="1"/>
  <c r="F895" i="2"/>
  <c r="H898" i="2" s="1"/>
  <c r="H899" i="2" s="1"/>
  <c r="H900" i="2" s="1"/>
  <c r="H408" i="2" s="1"/>
  <c r="F860" i="2"/>
  <c r="F867" i="2"/>
  <c r="F874" i="2"/>
  <c r="F881" i="2"/>
  <c r="H884" i="2" s="1"/>
  <c r="H885" i="2" s="1"/>
  <c r="H886" i="2" s="1"/>
  <c r="H180" i="2" s="1"/>
  <c r="F888" i="2"/>
  <c r="H891" i="2" s="1"/>
  <c r="H892" i="2" s="1"/>
  <c r="H893" i="2" s="1"/>
  <c r="H294" i="2" s="1"/>
  <c r="Y857" i="2"/>
  <c r="Z857" i="2" s="1"/>
  <c r="I51" i="21"/>
  <c r="J51" i="21" s="1"/>
  <c r="I51" i="20"/>
  <c r="J51" i="20" s="1"/>
  <c r="I51" i="17"/>
  <c r="J51" i="17" s="1"/>
  <c r="F825" i="2"/>
  <c r="F736" i="2"/>
  <c r="X962" i="2"/>
  <c r="S831" i="2"/>
  <c r="R831" i="2"/>
  <c r="L831" i="2"/>
  <c r="J831" i="2"/>
  <c r="J832" i="2" s="1"/>
  <c r="J833" i="2" s="1"/>
  <c r="T831" i="2"/>
  <c r="P831" i="2"/>
  <c r="K831" i="2"/>
  <c r="G831" i="2"/>
  <c r="M827" i="2"/>
  <c r="J827" i="2"/>
  <c r="I827" i="2"/>
  <c r="T827" i="2"/>
  <c r="S827" i="2"/>
  <c r="N827" i="2"/>
  <c r="K827" i="2"/>
  <c r="G827" i="2"/>
  <c r="F799" i="2"/>
  <c r="F744" i="2"/>
  <c r="F738" i="2"/>
  <c r="Y723" i="2"/>
  <c r="Z723" i="2" s="1"/>
  <c r="Y722" i="2"/>
  <c r="Z722" i="2" s="1"/>
  <c r="Y721" i="2"/>
  <c r="Z721" i="2" s="1"/>
  <c r="Y720" i="2"/>
  <c r="Z720" i="2" s="1"/>
  <c r="U681" i="2"/>
  <c r="T681" i="2"/>
  <c r="S681" i="2"/>
  <c r="R681" i="2"/>
  <c r="Q681" i="2"/>
  <c r="P681" i="2"/>
  <c r="O681" i="2"/>
  <c r="N681" i="2"/>
  <c r="M681" i="2"/>
  <c r="L681" i="2"/>
  <c r="K681" i="2"/>
  <c r="J681" i="2"/>
  <c r="I681" i="2"/>
  <c r="G681" i="2"/>
  <c r="F651" i="2"/>
  <c r="H414" i="2" l="1"/>
  <c r="H186" i="2"/>
  <c r="H78" i="2"/>
  <c r="H597" i="2"/>
  <c r="H300" i="2"/>
  <c r="H477" i="2"/>
  <c r="H243" i="2"/>
  <c r="H249" i="2"/>
  <c r="H306" i="2"/>
  <c r="H357" i="2"/>
  <c r="Y874" i="2"/>
  <c r="Z874" i="2" s="1"/>
  <c r="H877" i="2"/>
  <c r="H878" i="2" s="1"/>
  <c r="H879" i="2" s="1"/>
  <c r="H123" i="2" s="1"/>
  <c r="H129" i="2" s="1"/>
  <c r="H135" i="2"/>
  <c r="H420" i="2"/>
  <c r="H471" i="2"/>
  <c r="H529" i="2"/>
  <c r="Y825" i="2"/>
  <c r="Z825" i="2" s="1"/>
  <c r="H651" i="2"/>
  <c r="Y867" i="2"/>
  <c r="Z867" i="2" s="1"/>
  <c r="H870" i="2"/>
  <c r="H871" i="2" s="1"/>
  <c r="H872" i="2" s="1"/>
  <c r="H66" i="2" s="1"/>
  <c r="H72" i="2" s="1"/>
  <c r="H192" i="2"/>
  <c r="Y860" i="2"/>
  <c r="Z860" i="2" s="1"/>
  <c r="H863" i="2"/>
  <c r="H864" i="2" s="1"/>
  <c r="H865" i="2" s="1"/>
  <c r="H8" i="2" s="1"/>
  <c r="H20" i="2"/>
  <c r="H658" i="2" s="1"/>
  <c r="H535" i="2"/>
  <c r="H591" i="2"/>
  <c r="T938" i="2"/>
  <c r="T924" i="2"/>
  <c r="T917" i="2"/>
  <c r="T910" i="2"/>
  <c r="T903" i="2"/>
  <c r="T931" i="2"/>
  <c r="X957" i="2"/>
  <c r="Y957" i="2" s="1"/>
  <c r="Z957" i="2" s="1"/>
  <c r="X958" i="2"/>
  <c r="Y958" i="2" s="1"/>
  <c r="Z958" i="2" s="1"/>
  <c r="X737" i="2"/>
  <c r="Y737" i="2" s="1"/>
  <c r="Z737" i="2" s="1"/>
  <c r="Y962" i="2"/>
  <c r="Z962" i="2" s="1"/>
  <c r="X827" i="2"/>
  <c r="Y827" i="2" s="1"/>
  <c r="Z827" i="2" s="1"/>
  <c r="Y681" i="2"/>
  <c r="Z681" i="2" s="1"/>
  <c r="T832" i="2"/>
  <c r="T835" i="2" s="1"/>
  <c r="L832" i="2"/>
  <c r="L833" i="2" s="1"/>
  <c r="Q831" i="2"/>
  <c r="I831" i="2"/>
  <c r="M831" i="2"/>
  <c r="U831" i="2"/>
  <c r="F669" i="2"/>
  <c r="J836" i="2"/>
  <c r="J946" i="2" s="1"/>
  <c r="J835" i="2"/>
  <c r="R832" i="2"/>
  <c r="N831" i="2"/>
  <c r="S832" i="2"/>
  <c r="G832" i="2"/>
  <c r="K832" i="2"/>
  <c r="K833" i="2" s="1"/>
  <c r="O831" i="2"/>
  <c r="P832" i="2"/>
  <c r="P833" i="2" s="1"/>
  <c r="H781" i="2" l="1"/>
  <c r="G781" i="2" s="1"/>
  <c r="H961" i="2"/>
  <c r="H738" i="2" s="1"/>
  <c r="H14" i="2"/>
  <c r="M832" i="2"/>
  <c r="M833" i="2" s="1"/>
  <c r="I832" i="2"/>
  <c r="I836" i="2" s="1"/>
  <c r="I946" i="2" s="1"/>
  <c r="L835" i="2"/>
  <c r="L836" i="2"/>
  <c r="M835" i="2"/>
  <c r="X831" i="2"/>
  <c r="Y831" i="2" s="1"/>
  <c r="Z831" i="2" s="1"/>
  <c r="M836" i="2"/>
  <c r="M946" i="2" s="1"/>
  <c r="T836" i="2"/>
  <c r="T946" i="2" s="1"/>
  <c r="T833" i="2"/>
  <c r="R836" i="2"/>
  <c r="R946" i="2" s="1"/>
  <c r="R833" i="2"/>
  <c r="J838" i="2"/>
  <c r="J849" i="2" s="1"/>
  <c r="J837" i="2"/>
  <c r="U832" i="2"/>
  <c r="U843" i="2"/>
  <c r="U844" i="2" s="1"/>
  <c r="U848" i="2" s="1"/>
  <c r="Q832" i="2"/>
  <c r="Q842" i="2"/>
  <c r="S836" i="2"/>
  <c r="S946" i="2" s="1"/>
  <c r="S835" i="2"/>
  <c r="S833" i="2"/>
  <c r="J846" i="2"/>
  <c r="P836" i="2"/>
  <c r="P946" i="2" s="1"/>
  <c r="P835" i="2"/>
  <c r="O832" i="2"/>
  <c r="O833" i="2" s="1"/>
  <c r="I835" i="2"/>
  <c r="I833" i="2"/>
  <c r="J847" i="2"/>
  <c r="G836" i="2"/>
  <c r="G946" i="2" s="1"/>
  <c r="G835" i="2"/>
  <c r="G833" i="2"/>
  <c r="K836" i="2"/>
  <c r="K946" i="2" s="1"/>
  <c r="K835" i="2"/>
  <c r="N832" i="2"/>
  <c r="R835" i="2"/>
  <c r="F717" i="2"/>
  <c r="F704" i="2"/>
  <c r="H753" i="2" l="1"/>
  <c r="L838" i="2"/>
  <c r="L946" i="2"/>
  <c r="Q846" i="2"/>
  <c r="Q847" i="2" s="1"/>
  <c r="Q843" i="2"/>
  <c r="Q844" i="2" s="1"/>
  <c r="M838" i="2"/>
  <c r="M837" i="2"/>
  <c r="M839" i="2" s="1"/>
  <c r="X956" i="2"/>
  <c r="Y956" i="2" s="1"/>
  <c r="Z956" i="2" s="1"/>
  <c r="X832" i="2"/>
  <c r="Y832" i="2" s="1"/>
  <c r="Z832" i="2" s="1"/>
  <c r="X842" i="2"/>
  <c r="Y842" i="2" s="1"/>
  <c r="Z842" i="2" s="1"/>
  <c r="J839" i="2"/>
  <c r="J850" i="2" s="1"/>
  <c r="I837" i="2"/>
  <c r="I838" i="2"/>
  <c r="Q836" i="2"/>
  <c r="Q946" i="2" s="1"/>
  <c r="Q833" i="2"/>
  <c r="U836" i="2"/>
  <c r="U946" i="2" s="1"/>
  <c r="U833" i="2"/>
  <c r="R837" i="2"/>
  <c r="R838" i="2"/>
  <c r="K838" i="2"/>
  <c r="K837" i="2"/>
  <c r="S838" i="2"/>
  <c r="S837" i="2"/>
  <c r="T838" i="2"/>
  <c r="T837" i="2"/>
  <c r="N833" i="2"/>
  <c r="G837" i="2"/>
  <c r="G839" i="2" s="1"/>
  <c r="G838" i="2"/>
  <c r="Q835" i="2"/>
  <c r="U835" i="2"/>
  <c r="F725" i="2"/>
  <c r="J848" i="2"/>
  <c r="O836" i="2"/>
  <c r="O946" i="2" s="1"/>
  <c r="O835" i="2"/>
  <c r="N835" i="2"/>
  <c r="N836" i="2"/>
  <c r="N946" i="2" s="1"/>
  <c r="X946" i="2" l="1"/>
  <c r="Y946" i="2" s="1"/>
  <c r="Z946" i="2" s="1"/>
  <c r="Q849" i="2"/>
  <c r="Q848" i="2"/>
  <c r="Q850" i="2"/>
  <c r="X836" i="2"/>
  <c r="Y836" i="2" s="1"/>
  <c r="Z836" i="2" s="1"/>
  <c r="X835" i="2"/>
  <c r="Y835" i="2" s="1"/>
  <c r="Z835" i="2" s="1"/>
  <c r="X843" i="2"/>
  <c r="Y843" i="2" s="1"/>
  <c r="Z843" i="2" s="1"/>
  <c r="X833" i="2"/>
  <c r="Y833" i="2" s="1"/>
  <c r="Z833" i="2" s="1"/>
  <c r="K839" i="2"/>
  <c r="S839" i="2"/>
  <c r="I839" i="2"/>
  <c r="T839" i="2"/>
  <c r="N838" i="2"/>
  <c r="R839" i="2"/>
  <c r="Q837" i="2"/>
  <c r="Q838" i="2"/>
  <c r="U837" i="2"/>
  <c r="U838" i="2"/>
  <c r="F763" i="2"/>
  <c r="F780" i="2"/>
  <c r="X847" i="2" l="1"/>
  <c r="Y847" i="2" s="1"/>
  <c r="Z847" i="2" s="1"/>
  <c r="X838" i="2"/>
  <c r="Y838" i="2" s="1"/>
  <c r="Z838" i="2" s="1"/>
  <c r="X846" i="2"/>
  <c r="Y846" i="2" s="1"/>
  <c r="Z846" i="2" s="1"/>
  <c r="X844" i="2"/>
  <c r="Y844" i="2" s="1"/>
  <c r="Z844" i="2" s="1"/>
  <c r="X837" i="2"/>
  <c r="Y837" i="2" s="1"/>
  <c r="Z837" i="2" s="1"/>
  <c r="U839" i="2"/>
  <c r="Q839" i="2"/>
  <c r="F788" i="2"/>
  <c r="X848" i="2" l="1"/>
  <c r="Y848" i="2" s="1"/>
  <c r="Z848" i="2" s="1"/>
  <c r="X850" i="2"/>
  <c r="Y850" i="2" s="1"/>
  <c r="Z850" i="2" s="1"/>
  <c r="X839" i="2"/>
  <c r="Y839" i="2" s="1"/>
  <c r="Z839" i="2" s="1"/>
  <c r="X849" i="2"/>
  <c r="Y849" i="2" s="1"/>
  <c r="Z849" i="2" s="1"/>
  <c r="F117" i="1" l="1"/>
  <c r="F143" i="1" l="1"/>
  <c r="F138" i="1"/>
  <c r="F137" i="1"/>
  <c r="F136" i="1"/>
  <c r="F135" i="1"/>
  <c r="F134" i="1"/>
  <c r="F126" i="1"/>
  <c r="F104" i="1"/>
  <c r="F107" i="1"/>
  <c r="F103" i="1"/>
  <c r="F72" i="1"/>
  <c r="F62" i="1"/>
  <c r="AC60" i="1"/>
  <c r="AB60" i="1"/>
  <c r="Y60" i="1"/>
  <c r="X60" i="1"/>
  <c r="W60" i="1"/>
  <c r="T60" i="1"/>
  <c r="F43" i="1"/>
  <c r="Q834" i="2" s="1"/>
  <c r="F42" i="1"/>
  <c r="F40" i="1"/>
  <c r="F39" i="1"/>
  <c r="F38" i="1"/>
  <c r="F30" i="1"/>
  <c r="F10" i="1"/>
  <c r="F9" i="1"/>
  <c r="F8" i="1"/>
  <c r="X834" i="2" l="1"/>
  <c r="Y834" i="2" s="1"/>
  <c r="Z834" i="2" s="1"/>
  <c r="Q845" i="2"/>
  <c r="X845" i="2" s="1"/>
  <c r="Y845" i="2" s="1"/>
  <c r="Z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E1" i="2"/>
  <c r="F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K47" i="7" l="1"/>
  <c r="K65" i="7"/>
  <c r="K22" i="7"/>
  <c r="K20" i="7"/>
  <c r="K49" i="7"/>
  <c r="K51" i="7"/>
  <c r="K26" i="7"/>
  <c r="K53" i="7"/>
  <c r="K28" i="7"/>
  <c r="K57" i="7"/>
  <c r="K30" i="7"/>
  <c r="K59" i="7"/>
  <c r="K24" i="7"/>
  <c r="K69" i="7"/>
  <c r="K43" i="7"/>
  <c r="K61" i="7"/>
  <c r="K18" i="7"/>
  <c r="K45" i="7"/>
  <c r="K63" i="7"/>
  <c r="K938" i="2"/>
  <c r="K931" i="2"/>
  <c r="K924" i="2"/>
  <c r="K917" i="2"/>
  <c r="K910" i="2"/>
  <c r="K903" i="2"/>
  <c r="G938" i="2"/>
  <c r="G917" i="2"/>
  <c r="G910" i="2"/>
  <c r="G903" i="2"/>
  <c r="G931" i="2"/>
  <c r="G924" i="2"/>
  <c r="L938" i="2"/>
  <c r="L924" i="2"/>
  <c r="L917" i="2"/>
  <c r="L910" i="2"/>
  <c r="L903" i="2"/>
  <c r="L931" i="2"/>
  <c r="D10" i="7"/>
  <c r="G458" i="1"/>
  <c r="G460" i="1" s="1"/>
  <c r="G462" i="1" s="1"/>
  <c r="G34" i="6"/>
  <c r="D30" i="7"/>
  <c r="E30" i="7" s="1"/>
  <c r="D28" i="7"/>
  <c r="E28" i="7" s="1"/>
  <c r="G32" i="6"/>
  <c r="G36" i="6"/>
  <c r="G28" i="6"/>
  <c r="G26" i="6"/>
  <c r="D22" i="7"/>
  <c r="E22" i="7" s="1"/>
  <c r="E18" i="7"/>
  <c r="D20" i="7"/>
  <c r="E20" i="7" s="1"/>
  <c r="E14" i="7"/>
  <c r="I661" i="2"/>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E10" i="7" l="1"/>
  <c r="K70" i="7"/>
  <c r="M938" i="2"/>
  <c r="M917" i="2"/>
  <c r="M910" i="2"/>
  <c r="M903" i="2"/>
  <c r="M931" i="2"/>
  <c r="M924" i="2"/>
  <c r="N938" i="2"/>
  <c r="N910" i="2"/>
  <c r="N931" i="2"/>
  <c r="N924" i="2"/>
  <c r="N917" i="2"/>
  <c r="N903" i="2"/>
  <c r="O938" i="2"/>
  <c r="O931" i="2"/>
  <c r="O924" i="2"/>
  <c r="O917" i="2"/>
  <c r="O910" i="2"/>
  <c r="O903" i="2"/>
  <c r="R938" i="2"/>
  <c r="R931" i="2"/>
  <c r="R924" i="2"/>
  <c r="R917" i="2"/>
  <c r="R910" i="2"/>
  <c r="R903" i="2"/>
  <c r="Q938" i="2"/>
  <c r="Q917" i="2"/>
  <c r="Q910" i="2"/>
  <c r="Q903" i="2"/>
  <c r="Q924" i="2"/>
  <c r="Q931" i="2"/>
  <c r="P938" i="2"/>
  <c r="P931" i="2"/>
  <c r="P917" i="2"/>
  <c r="P910" i="2"/>
  <c r="P903" i="2"/>
  <c r="P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J661" i="2"/>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3" i="2" s="1"/>
  <c r="AK72" i="1"/>
  <c r="AL72" i="1" s="1"/>
  <c r="T163" i="1"/>
  <c r="T169" i="1" s="1"/>
  <c r="T171" i="1" s="1"/>
  <c r="T358" i="1"/>
  <c r="L181" i="1"/>
  <c r="L192" i="1" s="1"/>
  <c r="D43" i="7" l="1"/>
  <c r="S938" i="2"/>
  <c r="S931" i="2"/>
  <c r="S924" i="2"/>
  <c r="S917" i="2"/>
  <c r="S910" i="2"/>
  <c r="S903" i="2"/>
  <c r="J910" i="2"/>
  <c r="J917" i="2"/>
  <c r="J924" i="2"/>
  <c r="J938" i="2"/>
  <c r="I938" i="2"/>
  <c r="I924" i="2"/>
  <c r="I917" i="2"/>
  <c r="I931" i="2"/>
  <c r="I910" i="2"/>
  <c r="I903" i="2"/>
  <c r="J931" i="2"/>
  <c r="P104" i="1"/>
  <c r="P521" i="1"/>
  <c r="AK521" i="1" s="1"/>
  <c r="AL521" i="1" s="1"/>
  <c r="AF62" i="1"/>
  <c r="Q103" i="1"/>
  <c r="Q104" i="1"/>
  <c r="AH62" i="1"/>
  <c r="K1" i="2"/>
  <c r="K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H46" i="6" l="1"/>
  <c r="H12" i="6"/>
  <c r="AK104" i="1"/>
  <c r="AL104" i="1" s="1"/>
  <c r="X924" i="2"/>
  <c r="X910" i="2"/>
  <c r="X917" i="2"/>
  <c r="X938" i="2"/>
  <c r="H40" i="6"/>
  <c r="T820" i="2" s="1"/>
  <c r="F938" i="2"/>
  <c r="H941" i="2" s="1"/>
  <c r="H942" i="2" s="1"/>
  <c r="H943" i="2" s="1"/>
  <c r="H445" i="2" s="1"/>
  <c r="F931" i="2"/>
  <c r="H934" i="2" s="1"/>
  <c r="H935" i="2" s="1"/>
  <c r="H936" i="2" s="1"/>
  <c r="H331" i="2" s="1"/>
  <c r="F924" i="2"/>
  <c r="H927" i="2" s="1"/>
  <c r="H928" i="2" s="1"/>
  <c r="H929" i="2" s="1"/>
  <c r="H217" i="2" s="1"/>
  <c r="F917" i="2"/>
  <c r="H920" i="2" s="1"/>
  <c r="H921" i="2" s="1"/>
  <c r="H922" i="2" s="1"/>
  <c r="H160" i="2" s="1"/>
  <c r="F910" i="2"/>
  <c r="H913" i="2" s="1"/>
  <c r="H914" i="2" s="1"/>
  <c r="H915" i="2" s="1"/>
  <c r="H103" i="2" s="1"/>
  <c r="F903" i="2"/>
  <c r="H906" i="2" s="1"/>
  <c r="H907" i="2" s="1"/>
  <c r="H908" i="2" s="1"/>
  <c r="H45" i="2" s="1"/>
  <c r="X931" i="2"/>
  <c r="H16" i="6"/>
  <c r="H44" i="6"/>
  <c r="H42" i="6"/>
  <c r="U820" i="2" s="1"/>
  <c r="I10" i="1"/>
  <c r="I62" i="1"/>
  <c r="L1" i="2"/>
  <c r="L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0"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19" i="2" s="1"/>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8" i="6"/>
  <c r="N820" i="2" s="1"/>
  <c r="H10" i="6"/>
  <c r="G820" i="2" s="1"/>
  <c r="H34" i="6"/>
  <c r="Q820" i="2" s="1"/>
  <c r="H24" i="6"/>
  <c r="L820" i="2" s="1"/>
  <c r="H18" i="6"/>
  <c r="H36" i="6"/>
  <c r="R820" i="2" s="1"/>
  <c r="H14" i="6"/>
  <c r="H32" i="6"/>
  <c r="P820" i="2" s="1"/>
  <c r="H26" i="6"/>
  <c r="M820" i="2" s="1"/>
  <c r="H22" i="6"/>
  <c r="K820" i="2" s="1"/>
  <c r="H30" i="6"/>
  <c r="O820" i="2" s="1"/>
  <c r="AJ504" i="1"/>
  <c r="AJ614" i="1"/>
  <c r="AJ503" i="1"/>
  <c r="AJ329" i="1"/>
  <c r="AJ523" i="1"/>
  <c r="AJ328" i="1"/>
  <c r="P533" i="1"/>
  <c r="F361" i="2" s="1"/>
  <c r="AK530" i="1"/>
  <c r="AL530" i="1" s="1"/>
  <c r="M12" i="1"/>
  <c r="M66" i="1" s="1"/>
  <c r="M117" i="1" s="1"/>
  <c r="H619" i="2" l="1"/>
  <c r="H636" i="2" s="1"/>
  <c r="H499" i="2"/>
  <c r="H516" i="2" s="1"/>
  <c r="H328" i="2"/>
  <c r="H345" i="2" s="1"/>
  <c r="H675" i="2" s="1"/>
  <c r="H157" i="2"/>
  <c r="H174" i="2" s="1"/>
  <c r="H442" i="2"/>
  <c r="H100" i="2"/>
  <c r="H117" i="2" s="1"/>
  <c r="H42" i="2"/>
  <c r="H59" i="2" s="1"/>
  <c r="H385" i="2"/>
  <c r="H402" i="2" s="1"/>
  <c r="H214" i="2"/>
  <c r="H557" i="2"/>
  <c r="H574" i="2" s="1"/>
  <c r="H679" i="2" s="1"/>
  <c r="H735" i="2" s="1"/>
  <c r="H271" i="2"/>
  <c r="H288" i="2" s="1"/>
  <c r="H459" i="2"/>
  <c r="H677" i="2" s="1"/>
  <c r="H733" i="2" s="1"/>
  <c r="Y924" i="2"/>
  <c r="Z924" i="2" s="1"/>
  <c r="F36" i="7"/>
  <c r="T819" i="2" s="1"/>
  <c r="F42" i="7"/>
  <c r="Y910" i="2"/>
  <c r="Z910" i="2" s="1"/>
  <c r="Y917" i="2"/>
  <c r="Z917" i="2" s="1"/>
  <c r="Y938" i="2"/>
  <c r="Z938" i="2" s="1"/>
  <c r="I820" i="2"/>
  <c r="J820" i="2"/>
  <c r="Y931" i="2"/>
  <c r="Z931" i="2" s="1"/>
  <c r="F38" i="7"/>
  <c r="U819" i="2" s="1"/>
  <c r="F40" i="7"/>
  <c r="M1" i="2"/>
  <c r="M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8" i="7"/>
  <c r="K819" i="2" s="1"/>
  <c r="F10" i="7"/>
  <c r="G819" i="2" s="1"/>
  <c r="F28" i="7"/>
  <c r="P819" i="2" s="1"/>
  <c r="F22" i="7"/>
  <c r="M819" i="2" s="1"/>
  <c r="F30" i="7"/>
  <c r="Q819" i="2" s="1"/>
  <c r="F14" i="7"/>
  <c r="I819" i="2" s="1"/>
  <c r="F20" i="7"/>
  <c r="L819" i="2" s="1"/>
  <c r="F32" i="7"/>
  <c r="R819" i="2" s="1"/>
  <c r="F24" i="7"/>
  <c r="N819" i="2" s="1"/>
  <c r="F16" i="7"/>
  <c r="J819" i="2" s="1"/>
  <c r="F26" i="7"/>
  <c r="O819" i="2" s="1"/>
  <c r="F34" i="7"/>
  <c r="S819"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H231" i="2" l="1"/>
  <c r="H754" i="2"/>
  <c r="H731" i="2"/>
  <c r="H688" i="2"/>
  <c r="H752" i="2" s="1"/>
  <c r="H959" i="2"/>
  <c r="H657" i="2" s="1"/>
  <c r="H669" i="2" s="1"/>
  <c r="H674" i="2"/>
  <c r="H965" i="2"/>
  <c r="H755" i="2" s="1"/>
  <c r="H730" i="2"/>
  <c r="H734" i="2"/>
  <c r="H678" i="2"/>
  <c r="H767" i="2"/>
  <c r="H708" i="2"/>
  <c r="H769" i="2" s="1"/>
  <c r="H676" i="2"/>
  <c r="H732" i="2"/>
  <c r="X820" i="2"/>
  <c r="Y820" i="2" s="1"/>
  <c r="Z820" i="2" s="1"/>
  <c r="X819" i="2"/>
  <c r="Y819" i="2" s="1"/>
  <c r="Z819" i="2" s="1"/>
  <c r="U93" i="1"/>
  <c r="U96" i="1" s="1"/>
  <c r="U541" i="1" s="1"/>
  <c r="F606" i="2" s="1"/>
  <c r="U117" i="1"/>
  <c r="AH115" i="1"/>
  <c r="AH117" i="1"/>
  <c r="N1" i="2"/>
  <c r="N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3" i="7"/>
  <c r="M79" i="1"/>
  <c r="M115" i="1"/>
  <c r="M116" i="1"/>
  <c r="F13" i="2"/>
  <c r="M93" i="1"/>
  <c r="M96" i="1" s="1"/>
  <c r="P616" i="1"/>
  <c r="P524" i="1"/>
  <c r="H706" i="2" l="1"/>
  <c r="H756" i="2"/>
  <c r="H704" i="2"/>
  <c r="H710" i="2" s="1"/>
  <c r="H717" i="2"/>
  <c r="H725" i="2" s="1"/>
  <c r="C31" i="33" s="1"/>
  <c r="U322" i="1"/>
  <c r="U111" i="1"/>
  <c r="F87" i="2" s="1"/>
  <c r="U537" i="1"/>
  <c r="F486" i="2" s="1"/>
  <c r="U500" i="1"/>
  <c r="U325" i="1"/>
  <c r="U535" i="1"/>
  <c r="F429" i="2" s="1"/>
  <c r="U497" i="1"/>
  <c r="U543" i="1"/>
  <c r="I79" i="1"/>
  <c r="I117" i="1"/>
  <c r="O1" i="2"/>
  <c r="O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H805" i="2" l="1"/>
  <c r="F57" i="33" s="1"/>
  <c r="F31" i="33"/>
  <c r="H780" i="2"/>
  <c r="H763" i="2"/>
  <c r="U506" i="1"/>
  <c r="U508" i="1" s="1"/>
  <c r="U123" i="1" s="1"/>
  <c r="U331" i="1"/>
  <c r="U333" i="1" s="1"/>
  <c r="F201" i="2" s="1"/>
  <c r="U545" i="1"/>
  <c r="P1" i="2"/>
  <c r="P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Q1" i="2"/>
  <c r="Q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R1" i="2" l="1"/>
  <c r="R661" i="2" s="1"/>
  <c r="Q114" i="1"/>
  <c r="Q118" i="1" s="1"/>
  <c r="Q146" i="1" s="1"/>
  <c r="F134" i="2" s="1"/>
  <c r="F190" i="2"/>
  <c r="P335" i="1"/>
  <c r="P547" i="1"/>
  <c r="P123" i="1"/>
  <c r="F247" i="2"/>
  <c r="P510" i="1"/>
  <c r="S1" i="2" l="1"/>
  <c r="S661" i="2" s="1"/>
  <c r="P114" i="1"/>
  <c r="P118" i="1" s="1"/>
  <c r="P146" i="1" s="1"/>
  <c r="F133" i="2" s="1"/>
  <c r="T1" i="2" l="1"/>
  <c r="T661" i="2" s="1"/>
  <c r="U1" i="2" l="1"/>
  <c r="U661" i="2" s="1"/>
  <c r="U784" i="2" l="1"/>
  <c r="V1" i="2"/>
  <c r="V661" i="2" s="1"/>
  <c r="V784" i="2" l="1"/>
  <c r="W1" i="2"/>
  <c r="W661" i="2" s="1"/>
  <c r="X661" i="2" s="1"/>
  <c r="Y661" i="2" s="1"/>
  <c r="Z661" i="2" s="1"/>
  <c r="W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X889" i="2"/>
  <c r="Y889" i="2" s="1"/>
  <c r="Z889" i="2" s="1"/>
  <c r="F863" i="2"/>
  <c r="X861" i="2"/>
  <c r="Y861" i="2" s="1"/>
  <c r="Z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X947" i="2" l="1"/>
  <c r="Y947" i="2" s="1"/>
  <c r="Z947" i="2" s="1"/>
  <c r="F949" i="2"/>
  <c r="F675" i="2"/>
  <c r="F731" i="2"/>
  <c r="T284" i="1"/>
  <c r="T282" i="1"/>
  <c r="AK282" i="1" s="1"/>
  <c r="AL282" i="1" s="1"/>
  <c r="AK280" i="1"/>
  <c r="AL280" i="1" s="1"/>
  <c r="F66" i="2"/>
  <c r="F868" i="2" s="1"/>
  <c r="AK181" i="1"/>
  <c r="AL181" i="1" s="1"/>
  <c r="H192" i="1"/>
  <c r="H462" i="1"/>
  <c r="AK402" i="1"/>
  <c r="AL402" i="1" s="1"/>
  <c r="U949" i="2" l="1"/>
  <c r="U950" i="2" s="1"/>
  <c r="V949" i="2"/>
  <c r="V950" i="2" s="1"/>
  <c r="L949" i="2"/>
  <c r="L950" i="2" s="1"/>
  <c r="S949" i="2"/>
  <c r="S950" i="2" s="1"/>
  <c r="Q949" i="2"/>
  <c r="Q950" i="2" s="1"/>
  <c r="N949" i="2"/>
  <c r="N950" i="2" s="1"/>
  <c r="G949" i="2"/>
  <c r="O949" i="2"/>
  <c r="O950" i="2" s="1"/>
  <c r="M949" i="2"/>
  <c r="M950" i="2" s="1"/>
  <c r="T949" i="2"/>
  <c r="T950" i="2" s="1"/>
  <c r="F950" i="2"/>
  <c r="K949" i="2"/>
  <c r="K950" i="2" s="1"/>
  <c r="R949" i="2"/>
  <c r="R950" i="2" s="1"/>
  <c r="I949" i="2"/>
  <c r="I950" i="2" s="1"/>
  <c r="P949" i="2"/>
  <c r="P950" i="2" s="1"/>
  <c r="W949" i="2"/>
  <c r="W950" i="2" s="1"/>
  <c r="J949" i="2"/>
  <c r="J950" i="2" s="1"/>
  <c r="X868" i="2"/>
  <c r="Y868" i="2" s="1"/>
  <c r="Z868" i="2" s="1"/>
  <c r="F870" i="2"/>
  <c r="F72" i="2"/>
  <c r="G34" i="14"/>
  <c r="K34" i="14" s="1"/>
  <c r="L34" i="14" s="1"/>
  <c r="T309" i="1"/>
  <c r="H487" i="1"/>
  <c r="AK462" i="1"/>
  <c r="AL462" i="1" s="1"/>
  <c r="AK192" i="1"/>
  <c r="AL192" i="1" s="1"/>
  <c r="H215" i="1"/>
  <c r="G950" i="2" l="1"/>
  <c r="X950" i="2" s="1"/>
  <c r="Y950" i="2" s="1"/>
  <c r="Z950" i="2" s="1"/>
  <c r="X949" i="2"/>
  <c r="Y949" i="2" s="1"/>
  <c r="Z949" i="2" s="1"/>
  <c r="X881" i="2"/>
  <c r="Y881" i="2" s="1"/>
  <c r="Z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8" i="2" l="1"/>
  <c r="Y888" i="2" s="1"/>
  <c r="Z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X904" i="2" l="1"/>
  <c r="Y904" i="2" s="1"/>
  <c r="Z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X911" i="2" l="1"/>
  <c r="Y911" i="2" s="1"/>
  <c r="Z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X939" i="2"/>
  <c r="Y939" i="2" s="1"/>
  <c r="Z939" i="2" s="1"/>
  <c r="F941" i="2"/>
  <c r="F914" i="2"/>
  <c r="X896" i="2"/>
  <c r="Y896" i="2" s="1"/>
  <c r="Z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X925" i="2"/>
  <c r="Y925" i="2" s="1"/>
  <c r="Z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X882" i="2"/>
  <c r="Y882" i="2" s="1"/>
  <c r="Z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X903" i="2"/>
  <c r="Y903" i="2" s="1"/>
  <c r="Z903" i="2" s="1"/>
  <c r="F765" i="2"/>
  <c r="F771" i="2" s="1"/>
  <c r="F748" i="2"/>
  <c r="F750" i="2" s="1"/>
  <c r="H742" i="2" l="1"/>
  <c r="H736" i="2"/>
  <c r="H743" i="2"/>
  <c r="H741" i="2"/>
  <c r="H680" i="2"/>
  <c r="H684" i="2" s="1"/>
  <c r="H686" i="2" s="1"/>
  <c r="F684" i="2"/>
  <c r="F686" i="2" s="1"/>
  <c r="H748" i="2" l="1"/>
  <c r="H744" i="2"/>
  <c r="H765" i="2" s="1"/>
  <c r="H771" i="2" s="1"/>
  <c r="F793" i="2"/>
  <c r="F801" i="2" s="1"/>
  <c r="F803" i="2" s="1"/>
  <c r="E32" i="27"/>
  <c r="H793" i="2" l="1"/>
  <c r="D31" i="33"/>
  <c r="E31" i="33" s="1"/>
  <c r="G31" i="33" s="1"/>
  <c r="H750" i="2"/>
  <c r="H758" i="2" s="1"/>
  <c r="Y653" i="2"/>
  <c r="Z653" i="2" s="1"/>
  <c r="E32" i="14"/>
  <c r="K32" i="27"/>
  <c r="L32" i="27" s="1"/>
  <c r="K32" i="14" l="1"/>
  <c r="L32" i="14" s="1"/>
  <c r="F934" i="2" l="1"/>
  <c r="X932" i="2"/>
  <c r="Y932" i="2" s="1"/>
  <c r="Z932" i="2" s="1"/>
  <c r="F935" i="2" l="1"/>
  <c r="K37" i="27"/>
  <c r="L37" i="27" s="1"/>
  <c r="X895" i="2"/>
  <c r="Y895" i="2" s="1"/>
  <c r="Z895" i="2" s="1"/>
  <c r="X955" i="2" l="1"/>
  <c r="Y955" i="2" s="1"/>
  <c r="Z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X918" i="2"/>
  <c r="Y918" i="2" s="1"/>
  <c r="Z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X875" i="2"/>
  <c r="Y875" i="2" s="1"/>
  <c r="Z875" i="2" s="1"/>
  <c r="F758" i="2" l="1"/>
  <c r="F878" i="2"/>
  <c r="O202" i="2" l="1"/>
  <c r="R26" i="2"/>
  <c r="U141" i="2"/>
  <c r="I148" i="2"/>
  <c r="P204" i="2"/>
  <c r="Q163" i="2"/>
  <c r="P147" i="2"/>
  <c r="J205" i="2"/>
  <c r="O488" i="2"/>
  <c r="S489" i="2"/>
  <c r="S48" i="2"/>
  <c r="R603" i="2"/>
  <c r="P210" i="2"/>
  <c r="T166" i="2"/>
  <c r="U483" i="2"/>
  <c r="K205" i="2"/>
  <c r="I483" i="2"/>
  <c r="I153" i="2"/>
  <c r="K169" i="2"/>
  <c r="T198" i="2"/>
  <c r="M489" i="2"/>
  <c r="R432" i="2"/>
  <c r="N271" i="2"/>
  <c r="S84" i="2"/>
  <c r="W438" i="2"/>
  <c r="T88" i="2"/>
  <c r="W141" i="2"/>
  <c r="W169" i="2"/>
  <c r="S608" i="2"/>
  <c r="P259" i="2"/>
  <c r="W431" i="2"/>
  <c r="V267" i="2"/>
  <c r="Q607" i="2"/>
  <c r="R271" i="2"/>
  <c r="Q169" i="2"/>
  <c r="T32" i="2"/>
  <c r="V274" i="2"/>
  <c r="U442" i="2"/>
  <c r="R255" i="2"/>
  <c r="T157" i="2"/>
  <c r="I163" i="2"/>
  <c r="K262" i="2"/>
  <c r="Q495" i="2"/>
  <c r="U202" i="2"/>
  <c r="N147" i="2"/>
  <c r="P260" i="2"/>
  <c r="S147" i="2"/>
  <c r="L169" i="2"/>
  <c r="M157" i="2"/>
  <c r="K89" i="2"/>
  <c r="R622" i="2"/>
  <c r="O214" i="2"/>
  <c r="S262" i="2"/>
  <c r="V259" i="2"/>
  <c r="V203" i="2"/>
  <c r="V657" i="2"/>
  <c r="T260" i="2"/>
  <c r="R261" i="2"/>
  <c r="V106" i="2"/>
  <c r="M204" i="2"/>
  <c r="L261" i="2"/>
  <c r="S166" i="2"/>
  <c r="U84" i="2"/>
  <c r="W260" i="2"/>
  <c r="L141" i="2"/>
  <c r="I432" i="2"/>
  <c r="M84" i="2"/>
  <c r="S430" i="2"/>
  <c r="S145" i="2"/>
  <c r="L157" i="2"/>
  <c r="W255" i="2"/>
  <c r="K271" i="2"/>
  <c r="N260" i="2"/>
  <c r="S220" i="2"/>
  <c r="Q96" i="2"/>
  <c r="M271" i="2"/>
  <c r="M141" i="2"/>
  <c r="J84" i="2"/>
  <c r="V430" i="2"/>
  <c r="W267" i="2"/>
  <c r="I603" i="2"/>
  <c r="Q502" i="2"/>
  <c r="L376" i="2"/>
  <c r="S153" i="2"/>
  <c r="K147" i="2"/>
  <c r="T148" i="2"/>
  <c r="M274" i="2"/>
  <c r="Q148" i="2"/>
  <c r="W157" i="2"/>
  <c r="V260" i="2"/>
  <c r="I433" i="2"/>
  <c r="R502" i="2"/>
  <c r="Q274" i="2"/>
  <c r="N432" i="2"/>
  <c r="V148" i="2"/>
  <c r="O141" i="2"/>
  <c r="N262" i="2"/>
  <c r="U262" i="2"/>
  <c r="U147" i="2"/>
  <c r="W615" i="2"/>
  <c r="U255" i="2"/>
  <c r="I267" i="2"/>
  <c r="L153" i="2"/>
  <c r="M89" i="2"/>
  <c r="V204" i="2"/>
  <c r="S203" i="2"/>
  <c r="L214" i="2"/>
  <c r="K261" i="2"/>
  <c r="T169" i="2"/>
  <c r="K153" i="2"/>
  <c r="I438" i="2"/>
  <c r="V205" i="2"/>
  <c r="R157" i="2"/>
  <c r="T204" i="2"/>
  <c r="Q214" i="2"/>
  <c r="J262" i="2"/>
  <c r="W430" i="2"/>
  <c r="Q438" i="2"/>
  <c r="Q374" i="2"/>
  <c r="I205" i="2"/>
  <c r="J202" i="2"/>
  <c r="W432" i="2"/>
  <c r="S141" i="2"/>
  <c r="T274" i="2"/>
  <c r="J210" i="2"/>
  <c r="P255" i="2"/>
  <c r="Q147" i="2"/>
  <c r="S33" i="2"/>
  <c r="O619" i="2"/>
  <c r="L442" i="2"/>
  <c r="Q38" i="2"/>
  <c r="M26" i="2"/>
  <c r="S261" i="2"/>
  <c r="S202" i="2"/>
  <c r="K30" i="2"/>
  <c r="T146" i="2"/>
  <c r="V433" i="2"/>
  <c r="K163" i="2"/>
  <c r="V146" i="2"/>
  <c r="L603" i="2"/>
  <c r="V610" i="2"/>
  <c r="O271" i="2"/>
  <c r="W100" i="2"/>
  <c r="L432" i="2"/>
  <c r="S89" i="2"/>
  <c r="J609" i="2"/>
  <c r="U495" i="2"/>
  <c r="O388" i="2"/>
  <c r="V255" i="2"/>
  <c r="W166" i="2"/>
  <c r="L609" i="2"/>
  <c r="N267" i="2"/>
  <c r="R374" i="2"/>
  <c r="O262" i="2"/>
  <c r="V31" i="2"/>
  <c r="S488" i="2"/>
  <c r="W318" i="2"/>
  <c r="O147" i="2"/>
  <c r="U432" i="2"/>
  <c r="N489" i="2"/>
  <c r="T38" i="2"/>
  <c r="V91" i="2"/>
  <c r="T312" i="2"/>
  <c r="R100" i="2"/>
  <c r="W410" i="2"/>
  <c r="K488" i="2"/>
  <c r="S274" i="2"/>
  <c r="M267" i="2"/>
  <c r="S375" i="2"/>
  <c r="I100" i="2"/>
  <c r="V26" i="2"/>
  <c r="L88" i="2"/>
  <c r="K430" i="2"/>
  <c r="Q610" i="2"/>
  <c r="N148" i="2"/>
  <c r="J483" i="2"/>
  <c r="K260" i="2"/>
  <c r="V169" i="2"/>
  <c r="L205" i="2"/>
  <c r="L147" i="2"/>
  <c r="R214" i="2"/>
  <c r="I271" i="2"/>
  <c r="Q603" i="2"/>
  <c r="P148" i="2"/>
  <c r="O204" i="2"/>
  <c r="L319" i="2"/>
  <c r="O148" i="2"/>
  <c r="J91" i="2"/>
  <c r="U169" i="2"/>
  <c r="T430" i="2"/>
  <c r="O163" i="2"/>
  <c r="Q490" i="2"/>
  <c r="L622" i="2"/>
  <c r="T145" i="2"/>
  <c r="V487" i="2"/>
  <c r="W204" i="2"/>
  <c r="S426" i="2"/>
  <c r="I147" i="2"/>
  <c r="N205" i="2"/>
  <c r="I619" i="2"/>
  <c r="J499" i="2"/>
  <c r="V615" i="2"/>
  <c r="Q48" i="2"/>
  <c r="T499" i="2"/>
  <c r="L32" i="2"/>
  <c r="O489" i="2"/>
  <c r="N261" i="2"/>
  <c r="I495" i="2"/>
  <c r="K352" i="2"/>
  <c r="Q261" i="2"/>
  <c r="V262" i="2"/>
  <c r="R91" i="2"/>
  <c r="R362" i="2"/>
  <c r="V38" i="2"/>
  <c r="Q259" i="2"/>
  <c r="T438" i="2"/>
  <c r="T42" i="2"/>
  <c r="S198" i="2"/>
  <c r="Q91" i="2"/>
  <c r="J96" i="2"/>
  <c r="T141" i="2"/>
  <c r="J410" i="2"/>
  <c r="R89" i="2"/>
  <c r="U261" i="2"/>
  <c r="I214" i="2"/>
  <c r="S490" i="2"/>
  <c r="I328" i="2"/>
  <c r="Q488" i="2"/>
  <c r="R259" i="2"/>
  <c r="M202" i="2"/>
  <c r="Q483" i="2"/>
  <c r="P157" i="2"/>
  <c r="L438" i="2"/>
  <c r="S373" i="2"/>
  <c r="W210" i="2"/>
  <c r="I157" i="2"/>
  <c r="P433" i="2"/>
  <c r="N204" i="2"/>
  <c r="O267" i="2"/>
  <c r="O153" i="2"/>
  <c r="V202" i="2"/>
  <c r="S267" i="2"/>
  <c r="Q141" i="2"/>
  <c r="V84" i="2"/>
  <c r="V48" i="2"/>
  <c r="P603" i="2"/>
  <c r="V88" i="2"/>
  <c r="S495" i="2"/>
  <c r="K615" i="2"/>
  <c r="S483" i="2"/>
  <c r="P438" i="2"/>
  <c r="R318" i="2"/>
  <c r="L615" i="2"/>
  <c r="Q90" i="2"/>
  <c r="I88" i="2"/>
  <c r="W198" i="2"/>
  <c r="W205" i="2"/>
  <c r="I38" i="2"/>
  <c r="J271" i="2"/>
  <c r="R483" i="2"/>
  <c r="J430" i="2"/>
  <c r="M615" i="2"/>
  <c r="R438" i="2"/>
  <c r="L487" i="2"/>
  <c r="P141" i="2"/>
  <c r="T31" i="2"/>
  <c r="O210" i="2"/>
  <c r="S431" i="2"/>
  <c r="M147" i="2"/>
  <c r="K489" i="2"/>
  <c r="P483" i="2"/>
  <c r="T202" i="2"/>
  <c r="V261" i="2"/>
  <c r="M373" i="2"/>
  <c r="M499" i="2"/>
  <c r="K499" i="2"/>
  <c r="S334" i="2"/>
  <c r="K622" i="2"/>
  <c r="O525" i="2"/>
  <c r="P430" i="2"/>
  <c r="K157" i="2"/>
  <c r="J442" i="2"/>
  <c r="K214" i="2"/>
  <c r="Q106" i="2"/>
  <c r="P432" i="2"/>
  <c r="J607" i="2"/>
  <c r="W362" i="2"/>
  <c r="W489" i="2"/>
  <c r="L259" i="2"/>
  <c r="O32" i="2"/>
  <c r="I261" i="2"/>
  <c r="R388" i="2"/>
  <c r="S381" i="2"/>
  <c r="S26" i="2"/>
  <c r="P418" i="2"/>
  <c r="K608" i="2"/>
  <c r="K26" i="2"/>
  <c r="P106" i="2"/>
  <c r="P84" i="2"/>
  <c r="U260" i="2"/>
  <c r="P100" i="2"/>
  <c r="P319" i="2"/>
  <c r="N141" i="2"/>
  <c r="N26" i="2"/>
  <c r="W495" i="2"/>
  <c r="I622" i="2"/>
  <c r="T319" i="2"/>
  <c r="S324" i="2"/>
  <c r="V141" i="2"/>
  <c r="U607" i="2"/>
  <c r="O26" i="2"/>
  <c r="M490" i="2"/>
  <c r="J38" i="2"/>
  <c r="I410" i="2"/>
  <c r="Q622" i="2"/>
  <c r="J375" i="2"/>
  <c r="J100" i="2"/>
  <c r="K76" i="2"/>
  <c r="O316" i="2"/>
  <c r="N366" i="2"/>
  <c r="U319" i="2"/>
  <c r="M433" i="2"/>
  <c r="I90" i="2"/>
  <c r="V374" i="2"/>
  <c r="T622" i="2"/>
  <c r="J33" i="2"/>
  <c r="V145" i="2"/>
  <c r="O467" i="2"/>
  <c r="J586" i="2"/>
  <c r="V488" i="2"/>
  <c r="S205" i="2"/>
  <c r="T352" i="2"/>
  <c r="Q375" i="2"/>
  <c r="N202" i="2"/>
  <c r="N259" i="2"/>
  <c r="N328" i="2"/>
  <c r="Q42"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O42" i="2"/>
  <c r="U369" i="2"/>
  <c r="L61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S157" i="2"/>
  <c r="V369" i="2"/>
  <c r="R42" i="2"/>
  <c r="L148" i="2"/>
  <c r="V153" i="2"/>
  <c r="U157" i="2"/>
  <c r="T483" i="2"/>
  <c r="W202" i="2"/>
  <c r="R38" i="2"/>
  <c r="R33" i="2"/>
  <c r="W42" i="2"/>
  <c r="Q202" i="2"/>
  <c r="T433" i="2"/>
  <c r="J30" i="2"/>
  <c r="O596" i="2"/>
  <c r="L51" i="2"/>
  <c r="S277" i="2"/>
  <c r="S204" i="2"/>
  <c r="R442"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O499" i="2"/>
  <c r="M608" i="2"/>
  <c r="L204" i="2"/>
  <c r="P33" i="2"/>
  <c r="T381" i="2"/>
  <c r="N30" i="2"/>
  <c r="P30" i="2"/>
  <c r="S255" i="2"/>
  <c r="P202" i="2"/>
  <c r="N373" i="2"/>
  <c r="N534" i="2"/>
  <c r="S88" i="2"/>
  <c r="V157" i="2"/>
  <c r="S124" i="2"/>
  <c r="Q525" i="2"/>
  <c r="T48" i="2"/>
  <c r="K603" i="2"/>
  <c r="Q157" i="2"/>
  <c r="L260" i="2"/>
  <c r="R316" i="2"/>
  <c r="I319" i="2"/>
  <c r="U475" i="2"/>
  <c r="K619"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J619" i="2"/>
  <c r="I663" i="2"/>
  <c r="W91" i="2"/>
  <c r="P115" i="2"/>
  <c r="J587" i="2"/>
  <c r="N433" i="2"/>
  <c r="O48" i="2"/>
  <c r="L419" i="2"/>
  <c r="N595" i="2"/>
  <c r="I316" i="2"/>
  <c r="Q304" i="2"/>
  <c r="P595" i="2"/>
  <c r="R586" i="2"/>
  <c r="W304" i="2"/>
  <c r="U182" i="2"/>
  <c r="R541" i="2"/>
  <c r="R488" i="2"/>
  <c r="M148" i="2"/>
  <c r="T295" i="2"/>
  <c r="L106" i="2"/>
  <c r="V665" i="2"/>
  <c r="P785" i="2"/>
  <c r="L67" i="2"/>
  <c r="K475" i="2"/>
  <c r="I376" i="2"/>
  <c r="U352" i="2"/>
  <c r="R68" i="2"/>
  <c r="M381" i="2"/>
  <c r="P818" i="2"/>
  <c r="N90" i="2"/>
  <c r="J361" i="2"/>
  <c r="K534" i="2"/>
  <c r="V312" i="2"/>
  <c r="N596" i="2"/>
  <c r="J495" i="2"/>
  <c r="Q88" i="2"/>
  <c r="U38" i="2"/>
  <c r="W18" i="2"/>
  <c r="R124" i="2"/>
  <c r="N376" i="2"/>
  <c r="I369" i="2"/>
  <c r="Q409" i="2"/>
  <c r="W181" i="2"/>
  <c r="K133" i="2"/>
  <c r="R319" i="2"/>
  <c r="R548" i="2"/>
  <c r="R418" i="2"/>
  <c r="I557" i="2"/>
  <c r="L90" i="2"/>
  <c r="U91" i="2"/>
  <c r="L488" i="2"/>
  <c r="Q476" i="2"/>
  <c r="I785" i="2"/>
  <c r="U19" i="2"/>
  <c r="L181" i="2"/>
  <c r="M596" i="2"/>
  <c r="I115" i="2"/>
  <c r="O115" i="2"/>
  <c r="P134" i="2"/>
  <c r="M261" i="2"/>
  <c r="S163" i="2"/>
  <c r="N124" i="2"/>
  <c r="I84" i="2"/>
  <c r="P77" i="2"/>
  <c r="U619" i="2"/>
  <c r="Q442" i="2"/>
  <c r="O476" i="2"/>
  <c r="S448" i="2"/>
  <c r="R660" i="2"/>
  <c r="N115" i="2"/>
  <c r="S607" i="2"/>
  <c r="N88" i="2"/>
  <c r="W738" i="2"/>
  <c r="R96" i="2"/>
  <c r="T553" i="2"/>
  <c r="R328" i="2"/>
  <c r="V214" i="2"/>
  <c r="P48" i="2"/>
  <c r="P385" i="2"/>
  <c r="M259" i="2"/>
  <c r="S374" i="2"/>
  <c r="M51" i="2"/>
  <c r="P374" i="2"/>
  <c r="N480" i="2"/>
  <c r="U106" i="2"/>
  <c r="L608" i="2"/>
  <c r="W84" i="2"/>
  <c r="N324" i="2"/>
  <c r="Q124" i="2"/>
  <c r="I487" i="2"/>
  <c r="L324" i="2"/>
  <c r="V489" i="2"/>
  <c r="J42" i="2"/>
  <c r="V376" i="2"/>
  <c r="N615" i="2"/>
  <c r="K210" i="2"/>
  <c r="T607" i="2"/>
  <c r="O410" i="2"/>
  <c r="V475" i="2"/>
  <c r="S476" i="2"/>
  <c r="N388" i="2"/>
  <c r="S210" i="2"/>
  <c r="J433" i="2"/>
  <c r="L361" i="2"/>
  <c r="S32" i="2"/>
  <c r="U388" i="2"/>
  <c r="Q324" i="2"/>
  <c r="N603" i="2"/>
  <c r="U90" i="2"/>
  <c r="L42" i="2"/>
  <c r="O319" i="2"/>
  <c r="M442" i="2"/>
  <c r="P381" i="2"/>
  <c r="L89" i="2"/>
  <c r="W238" i="2"/>
  <c r="V238" i="2"/>
  <c r="V410" i="2"/>
  <c r="U115" i="2"/>
  <c r="V534" i="2"/>
  <c r="R546" i="2"/>
  <c r="S419" i="2"/>
  <c r="J305" i="2"/>
  <c r="Q153" i="2"/>
  <c r="R172" i="2"/>
  <c r="L374" i="2"/>
  <c r="N818" i="2"/>
  <c r="J480" i="2"/>
  <c r="W815" i="2"/>
  <c r="W153" i="2"/>
  <c r="O823" i="2"/>
  <c r="N538" i="2"/>
  <c r="L815" i="2"/>
  <c r="Q133" i="2"/>
  <c r="N553" i="2"/>
  <c r="R32" i="2"/>
  <c r="R88" i="2"/>
  <c r="V163" i="2"/>
  <c r="N305" i="2"/>
  <c r="U596" i="2"/>
  <c r="J304" i="2"/>
  <c r="V682" i="2"/>
  <c r="U324" i="2"/>
  <c r="K423" i="2"/>
  <c r="S596" i="2"/>
  <c r="R410" i="2"/>
  <c r="I305" i="2"/>
  <c r="T495" i="2"/>
  <c r="Q172" i="2"/>
  <c r="U423" i="2"/>
  <c r="L210" i="2"/>
  <c r="S433" i="2"/>
  <c r="W317" i="2"/>
  <c r="S148" i="2"/>
  <c r="S362" i="2"/>
  <c r="R138" i="2"/>
  <c r="M109" i="2"/>
  <c r="N353" i="2"/>
  <c r="K353" i="2"/>
  <c r="T255" i="2"/>
  <c r="U381" i="2"/>
  <c r="O89" i="2"/>
  <c r="O609" i="2"/>
  <c r="P181" i="2"/>
  <c r="T442" i="2"/>
  <c r="Q608" i="2"/>
  <c r="P615" i="2"/>
  <c r="L195" i="2"/>
  <c r="P214" i="2"/>
  <c r="P587" i="2"/>
  <c r="O96" i="2"/>
  <c r="T409" i="2"/>
  <c r="M466" i="2"/>
  <c r="M375" i="2"/>
  <c r="I595" i="2"/>
  <c r="U96" i="2"/>
  <c r="I442" i="2"/>
  <c r="U305" i="2"/>
  <c r="J68" i="2"/>
  <c r="N545" i="2"/>
  <c r="M822"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S214" i="2"/>
  <c r="T431" i="2"/>
  <c r="O419" i="2"/>
  <c r="W124" i="2"/>
  <c r="P524" i="2"/>
  <c r="T374" i="2"/>
  <c r="Q410" i="2"/>
  <c r="U89" i="2"/>
  <c r="V622" i="2"/>
  <c r="V352" i="2"/>
  <c r="V76" i="2"/>
  <c r="T652" i="2"/>
  <c r="N296" i="2"/>
  <c r="T106" i="2"/>
  <c r="Q822" i="2"/>
  <c r="Q628" i="2" s="1"/>
  <c r="J324" i="2"/>
  <c r="O821" i="2"/>
  <c r="M785" i="2"/>
  <c r="W608" i="2"/>
  <c r="J48" i="2"/>
  <c r="O533" i="2"/>
  <c r="N169" i="2"/>
  <c r="O438" i="2"/>
  <c r="P328" i="2"/>
  <c r="J475" i="2"/>
  <c r="W195" i="2"/>
  <c r="K467" i="2"/>
  <c r="L430" i="2"/>
  <c r="N418" i="2"/>
  <c r="J373" i="2"/>
  <c r="P665" i="2"/>
  <c r="S625" i="2"/>
  <c r="P822" i="2"/>
  <c r="R524" i="2"/>
  <c r="O109" i="2"/>
  <c r="V524" i="2"/>
  <c r="Q67" i="2"/>
  <c r="P388" i="2"/>
  <c r="W33" i="2"/>
  <c r="K586" i="2"/>
  <c r="Q467" i="2"/>
  <c r="Q328" i="2"/>
  <c r="J489" i="2"/>
  <c r="R560" i="2"/>
  <c r="K9" i="2"/>
  <c r="P600" i="2"/>
  <c r="K112" i="2"/>
  <c r="L57" i="2"/>
  <c r="L202" i="2"/>
  <c r="N319" i="2"/>
  <c r="T203" i="2"/>
  <c r="N608" i="2"/>
  <c r="K495" i="2"/>
  <c r="V388" i="2"/>
  <c r="J148" i="2"/>
  <c r="S553" i="2"/>
  <c r="S191" i="2"/>
  <c r="Q138" i="2"/>
  <c r="S19" i="2"/>
  <c r="S547" i="2"/>
  <c r="K10" i="2"/>
  <c r="K823" i="2"/>
  <c r="U608" i="2"/>
  <c r="P26" i="2"/>
  <c r="I533" i="2"/>
  <c r="N375" i="2"/>
  <c r="R169" i="2"/>
  <c r="O502" i="2"/>
  <c r="R31" i="2"/>
  <c r="J157" i="2"/>
  <c r="V68" i="2"/>
  <c r="U603" i="2"/>
  <c r="O305" i="2"/>
  <c r="U42" i="2"/>
  <c r="N239" i="2"/>
  <c r="W10" i="2"/>
  <c r="U818" i="2"/>
  <c r="K191" i="2"/>
  <c r="T91" i="2"/>
  <c r="K433" i="2"/>
  <c r="K410" i="2"/>
  <c r="K238" i="2"/>
  <c r="W538" i="2"/>
  <c r="J352" i="2"/>
  <c r="M483" i="2"/>
  <c r="U586" i="2"/>
  <c r="R204" i="2"/>
  <c r="I204" i="2"/>
  <c r="T100" i="2"/>
  <c r="U375" i="2"/>
  <c r="P96" i="2"/>
  <c r="W296" i="2"/>
  <c r="S656" i="2"/>
  <c r="V495" i="2"/>
  <c r="V381" i="2"/>
  <c r="I609" i="2"/>
  <c r="R587" i="2"/>
  <c r="T305" i="2"/>
  <c r="M124" i="2"/>
  <c r="O296" i="2"/>
  <c r="L84" i="2"/>
  <c r="U238" i="2"/>
  <c r="O23" i="2"/>
  <c r="K54" i="2"/>
  <c r="J259" i="2"/>
  <c r="L534" i="2"/>
  <c r="M418" i="2"/>
  <c r="K316" i="2"/>
  <c r="V608" i="2"/>
  <c r="P42" i="2"/>
  <c r="K546" i="2"/>
  <c r="O30" i="2"/>
  <c r="W261" i="2"/>
  <c r="U533" i="2"/>
  <c r="R252" i="2"/>
  <c r="J260" i="2"/>
  <c r="U785" i="2"/>
  <c r="U799" i="2" s="1"/>
  <c r="O138" i="2"/>
  <c r="K655" i="2"/>
  <c r="I818" i="2"/>
  <c r="L385" i="2"/>
  <c r="W664" i="2"/>
  <c r="N247" i="2"/>
  <c r="M534" i="2"/>
  <c r="K318" i="2"/>
  <c r="N619" i="2"/>
  <c r="S366" i="2"/>
  <c r="U9" i="2"/>
  <c r="N663" i="2"/>
  <c r="N610" i="2"/>
  <c r="Q376" i="2"/>
  <c r="U23" i="2"/>
  <c r="Q366" i="2"/>
  <c r="W81" i="2"/>
  <c r="U172" i="2"/>
  <c r="P362" i="2"/>
  <c r="W622" i="2"/>
  <c r="Q499" i="2"/>
  <c r="S385" i="2"/>
  <c r="O557" i="2"/>
  <c r="M112" i="2"/>
  <c r="S259" i="2"/>
  <c r="Q466" i="2"/>
  <c r="M304" i="2"/>
  <c r="Q109" i="2"/>
  <c r="I138" i="2"/>
  <c r="J525" i="2"/>
  <c r="K38" i="2"/>
  <c r="W67" i="2"/>
  <c r="U538" i="2"/>
  <c r="V600" i="2"/>
  <c r="O76" i="2"/>
  <c r="V191" i="2"/>
  <c r="R205" i="2"/>
  <c r="U163" i="2"/>
  <c r="I524" i="2"/>
  <c r="V823" i="2"/>
  <c r="P18" i="2"/>
  <c r="W32" i="2"/>
  <c r="N499" i="2"/>
  <c r="S499" i="2"/>
  <c r="L318" i="2"/>
  <c r="L388" i="2"/>
  <c r="K409" i="2"/>
  <c r="K57" i="2"/>
  <c r="I274" i="2"/>
  <c r="I822" i="2"/>
  <c r="I280" i="2" s="1"/>
  <c r="M388" i="2"/>
  <c r="T210" i="2"/>
  <c r="M366" i="2"/>
  <c r="U525" i="2"/>
  <c r="S309" i="2"/>
  <c r="R600" i="2"/>
  <c r="I124" i="2"/>
  <c r="I607" i="2"/>
  <c r="W89" i="2"/>
  <c r="K324" i="2"/>
  <c r="U374" i="2"/>
  <c r="P304" i="2"/>
  <c r="L785" i="2"/>
  <c r="R433" i="2"/>
  <c r="L587" i="2"/>
  <c r="S663" i="2"/>
  <c r="W822" i="2"/>
  <c r="K609" i="2"/>
  <c r="N318" i="2"/>
  <c r="T247" i="2"/>
  <c r="U655" i="2"/>
  <c r="S81" i="2"/>
  <c r="P538" i="2"/>
  <c r="K274" i="2"/>
  <c r="R48" i="2"/>
  <c r="V353" i="2"/>
  <c r="O373" i="2"/>
  <c r="U191" i="2"/>
  <c r="W271" i="2"/>
  <c r="V607" i="2"/>
  <c r="T205" i="2"/>
  <c r="N153" i="2"/>
  <c r="V317" i="2"/>
  <c r="N476" i="2"/>
  <c r="M214" i="2"/>
  <c r="M309" i="2"/>
  <c r="I587" i="2"/>
  <c r="L133" i="2"/>
  <c r="Q665" i="2"/>
  <c r="M33" i="2"/>
  <c r="L489" i="2"/>
  <c r="N487" i="2"/>
  <c r="T19" i="2"/>
  <c r="O57" i="2"/>
  <c r="W125" i="2"/>
  <c r="M663" i="2"/>
  <c r="R274" i="2"/>
  <c r="T466" i="2"/>
  <c r="T267" i="2"/>
  <c r="V319" i="2"/>
  <c r="W534" i="2"/>
  <c r="T560" i="2"/>
  <c r="O259" i="2"/>
  <c r="Q195" i="2"/>
  <c r="R84" i="2"/>
  <c r="S42" i="2"/>
  <c r="I361" i="2"/>
  <c r="V821" i="2"/>
  <c r="M32" i="2"/>
  <c r="W115" i="2"/>
  <c r="S595" i="2"/>
  <c r="L138" i="2"/>
  <c r="R115" i="2"/>
  <c r="M247" i="2"/>
  <c r="V9" i="2"/>
  <c r="L134" i="2"/>
  <c r="P19" i="2"/>
  <c r="N274" i="2"/>
  <c r="M19" i="2"/>
  <c r="J316" i="2"/>
  <c r="W619"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214" i="2"/>
  <c r="W476" i="2"/>
  <c r="R90" i="2"/>
  <c r="T328" i="2"/>
  <c r="Q68" i="2"/>
  <c r="P248" i="2"/>
  <c r="I247" i="2"/>
  <c r="K23" i="2"/>
  <c r="W239" i="2"/>
  <c r="W388" i="2"/>
  <c r="T665" i="2"/>
  <c r="I181" i="2"/>
  <c r="Q125" i="2"/>
  <c r="R619" i="2"/>
  <c r="U560" i="2"/>
  <c r="V586" i="2"/>
  <c r="V90" i="2"/>
  <c r="R267" i="2"/>
  <c r="V19" i="2"/>
  <c r="P815" i="2"/>
  <c r="Q267" i="2"/>
  <c r="L19" i="2"/>
  <c r="I202" i="2"/>
  <c r="J76" i="2"/>
  <c r="I54" i="2"/>
  <c r="K502" i="2"/>
  <c r="W487" i="2"/>
  <c r="O169" i="2"/>
  <c r="V603" i="2"/>
  <c r="K376" i="2"/>
  <c r="K91" i="2"/>
  <c r="K42"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2" i="2"/>
  <c r="Q84" i="2"/>
  <c r="M586" i="2"/>
  <c r="T663" i="2"/>
  <c r="L607" i="2"/>
  <c r="L665" i="2"/>
  <c r="T317" i="2"/>
  <c r="I409" i="2"/>
  <c r="Q309" i="2"/>
  <c r="O815" i="2"/>
  <c r="L818" i="2"/>
  <c r="L548" i="2"/>
  <c r="R262" i="2"/>
  <c r="J296" i="2"/>
  <c r="S391" i="2"/>
  <c r="K385" i="2"/>
  <c r="R366" i="2"/>
  <c r="K662" i="2"/>
  <c r="K480" i="2"/>
  <c r="V432" i="2"/>
  <c r="S38" i="2"/>
  <c r="L362" i="2"/>
  <c r="S533" i="2"/>
  <c r="Q419" i="2"/>
  <c r="U316" i="2"/>
  <c r="L100" i="2"/>
  <c r="W381" i="2"/>
  <c r="M423" i="2"/>
  <c r="L255" i="2"/>
  <c r="R38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K442" i="2"/>
  <c r="P369" i="2"/>
  <c r="V138" i="2"/>
  <c r="P475" i="2"/>
  <c r="T600" i="2"/>
  <c r="M125" i="2"/>
  <c r="S352" i="2"/>
  <c r="S51" i="2"/>
  <c r="T502" i="2"/>
  <c r="J374" i="2"/>
  <c r="V609" i="2"/>
  <c r="J147" i="2"/>
  <c r="I546" i="2"/>
  <c r="O490" i="2"/>
  <c r="P125" i="2"/>
  <c r="O328" i="2"/>
  <c r="P271" i="2"/>
  <c r="L267" i="2"/>
  <c r="K31" i="2"/>
  <c r="I490" i="2"/>
  <c r="U76" i="2"/>
  <c r="I48" i="2"/>
  <c r="P419" i="2"/>
  <c r="V362" i="2"/>
  <c r="I76" i="2"/>
  <c r="T410" i="2"/>
  <c r="S525" i="2"/>
  <c r="J141" i="2"/>
  <c r="O157" i="2"/>
  <c r="O248" i="2"/>
  <c r="V190" i="2"/>
  <c r="T376" i="2"/>
  <c r="P238" i="2"/>
  <c r="I538" i="2"/>
  <c r="W38" i="2"/>
  <c r="U304" i="2"/>
  <c r="N67" i="2"/>
  <c r="I112" i="2"/>
  <c r="S409" i="2"/>
  <c r="M318" i="2"/>
  <c r="R495" i="2"/>
  <c r="Q181" i="2"/>
  <c r="M607" i="2"/>
  <c r="J247" i="2"/>
  <c r="W467" i="2"/>
  <c r="N665" i="2"/>
  <c r="I259" i="2"/>
  <c r="P487" i="2"/>
  <c r="R480" i="2"/>
  <c r="V17" i="2"/>
  <c r="L328" i="2"/>
  <c r="N374" i="2"/>
  <c r="R608" i="2"/>
  <c r="P262" i="2"/>
  <c r="J181" i="2"/>
  <c r="S480" i="2"/>
  <c r="Q600" i="2"/>
  <c r="J596" i="2"/>
  <c r="I373" i="2"/>
  <c r="O487" i="2"/>
  <c r="T239" i="2"/>
  <c r="T586" i="2"/>
  <c r="V375" i="2"/>
  <c r="L557" i="2"/>
  <c r="W96" i="2"/>
  <c r="Q26" i="2"/>
  <c r="W658" i="2"/>
  <c r="W586" i="2"/>
  <c r="W385" i="2"/>
  <c r="O587" i="2"/>
  <c r="S305" i="2"/>
  <c r="I324" i="2"/>
  <c r="V655" i="2"/>
  <c r="T57" i="2"/>
  <c r="V546" i="2"/>
  <c r="I381" i="2"/>
  <c r="V51" i="2"/>
  <c r="S662" i="2"/>
  <c r="O19" i="2"/>
  <c r="R489" i="2"/>
  <c r="N533" i="2"/>
  <c r="R125" i="2"/>
  <c r="I466" i="2"/>
  <c r="R525" i="2"/>
  <c r="J239" i="2"/>
  <c r="R615" i="2"/>
  <c r="R324" i="2"/>
  <c r="U667" i="2"/>
  <c r="Q9" i="2"/>
  <c r="V181" i="2"/>
  <c r="K374" i="2"/>
  <c r="J319" i="2"/>
  <c r="W600" i="2"/>
  <c r="U665" i="2"/>
  <c r="V499" i="2"/>
  <c r="V533" i="2"/>
  <c r="K418" i="2"/>
  <c r="M557" i="2"/>
  <c r="O191" i="2"/>
  <c r="U587" i="2"/>
  <c r="S655" i="2"/>
  <c r="Q18" i="2"/>
  <c r="S818" i="2"/>
  <c r="O295" i="2"/>
  <c r="T84" i="2"/>
  <c r="L271" i="2"/>
  <c r="P163" i="2"/>
  <c r="M255" i="2"/>
  <c r="V656" i="2"/>
  <c r="W262" i="2"/>
  <c r="P821" i="2"/>
  <c r="P277" i="2" s="1"/>
  <c r="J815" i="2"/>
  <c r="O190" i="2"/>
  <c r="W609" i="2"/>
  <c r="N524" i="2"/>
  <c r="R148" i="2"/>
  <c r="N42" i="2"/>
  <c r="W502" i="2"/>
  <c r="O430" i="2"/>
  <c r="V560" i="2"/>
  <c r="W596" i="2"/>
  <c r="T587" i="2"/>
  <c r="W353" i="2"/>
  <c r="J182" i="2"/>
  <c r="T81" i="2"/>
  <c r="T525" i="2"/>
  <c r="L68" i="2"/>
  <c r="T76" i="2"/>
  <c r="L239" i="2"/>
  <c r="O595" i="2"/>
  <c r="R499" i="2"/>
  <c r="J252" i="2"/>
  <c r="O466" i="2"/>
  <c r="T124" i="2"/>
  <c r="W546" i="2"/>
  <c r="Q205" i="2"/>
  <c r="P51" i="2"/>
  <c r="R373" i="2"/>
  <c r="Q239" i="2"/>
  <c r="K309" i="2"/>
  <c r="S369" i="2"/>
  <c r="P38" i="2"/>
  <c r="M385" i="2"/>
  <c r="M262" i="2"/>
  <c r="J622" i="2"/>
  <c r="I610" i="2"/>
  <c r="O361" i="2"/>
  <c r="T296" i="2"/>
  <c r="W252" i="2"/>
  <c r="W295" i="2"/>
  <c r="W607" i="2"/>
  <c r="Q100" i="2"/>
  <c r="I141" i="2"/>
  <c r="S659" i="2"/>
  <c r="N316" i="2"/>
  <c r="L553" i="2"/>
  <c r="T261" i="2"/>
  <c r="K596" i="2"/>
  <c r="L495" i="2"/>
  <c r="K821"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5" i="2"/>
  <c r="V799" i="2" s="1"/>
  <c r="P545" i="2"/>
  <c r="V654" i="2"/>
  <c r="M169" i="2"/>
  <c r="P375" i="2"/>
  <c r="Q318" i="2"/>
  <c r="I295" i="2"/>
  <c r="S560" i="2"/>
  <c r="N214" i="2"/>
  <c r="V547" i="2"/>
  <c r="S586" i="2"/>
  <c r="T426" i="2"/>
  <c r="R815" i="2"/>
  <c r="T385" i="2"/>
  <c r="W31" i="2"/>
  <c r="L433" i="2"/>
  <c r="K328" i="2"/>
  <c r="V545" i="2"/>
  <c r="Q352" i="2"/>
  <c r="U490" i="2"/>
  <c r="P609" i="2"/>
  <c r="O608" i="2"/>
  <c r="M48" i="2"/>
  <c r="M667" i="2"/>
  <c r="V304" i="2"/>
  <c r="R610" i="2"/>
  <c r="K476" i="2"/>
  <c r="S247" i="2"/>
  <c r="T353" i="2"/>
  <c r="U499" i="2"/>
  <c r="J821" i="2"/>
  <c r="K204" i="2"/>
  <c r="R51" i="2"/>
  <c r="U430" i="2"/>
  <c r="J381" i="2"/>
  <c r="P305" i="2"/>
  <c r="T534" i="2"/>
  <c r="K553" i="2"/>
  <c r="U476" i="2"/>
  <c r="L667" i="2"/>
  <c r="L410" i="2"/>
  <c r="V33" i="2"/>
  <c r="Q541" i="2"/>
  <c r="Q489" i="2"/>
  <c r="O84" i="2"/>
  <c r="W48" i="2"/>
  <c r="M553" i="2"/>
  <c r="Q369" i="2"/>
  <c r="W553" i="2"/>
  <c r="O660" i="2"/>
  <c r="M100" i="2"/>
  <c r="S600" i="2"/>
  <c r="W68" i="2"/>
  <c r="N51" i="2"/>
  <c r="U822" i="2"/>
  <c r="V318" i="2"/>
  <c r="S541" i="2"/>
  <c r="I67" i="2"/>
  <c r="T182" i="2"/>
  <c r="W134" i="2"/>
  <c r="S410" i="2"/>
  <c r="M42" i="2"/>
  <c r="J106" i="2"/>
  <c r="O195" i="2"/>
  <c r="P239" i="2"/>
  <c r="W785" i="2"/>
  <c r="I239" i="2"/>
  <c r="V423" i="2"/>
  <c r="R663" i="2"/>
  <c r="I252" i="2"/>
  <c r="R76" i="2"/>
  <c r="M195" i="2"/>
  <c r="T252" i="2"/>
  <c r="L172" i="2"/>
  <c r="K785"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3" i="2"/>
  <c r="W286" i="2" s="1"/>
  <c r="I96" i="2"/>
  <c r="O88" i="2"/>
  <c r="V548" i="2"/>
  <c r="N586" i="2"/>
  <c r="R487" i="2"/>
  <c r="M81" i="2"/>
  <c r="S68" i="2"/>
  <c r="O366" i="2"/>
  <c r="S619" i="2"/>
  <c r="I304" i="2"/>
  <c r="R147" i="2"/>
  <c r="O304" i="2"/>
  <c r="S31" i="2"/>
  <c r="Q10" i="2"/>
  <c r="Q361" i="2"/>
  <c r="T667" i="2"/>
  <c r="N815" i="2"/>
  <c r="S609" i="2"/>
  <c r="J466" i="2"/>
  <c r="S90" i="2"/>
  <c r="U205" i="2"/>
  <c r="K125" i="2"/>
  <c r="M328"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8" i="2"/>
  <c r="I191" i="2"/>
  <c r="S438" i="2"/>
  <c r="Q57" i="2"/>
  <c r="K190" i="2"/>
  <c r="U57" i="2"/>
  <c r="W548" i="2"/>
  <c r="L663" i="2"/>
  <c r="P172" i="2"/>
  <c r="R134" i="2"/>
  <c r="W663" i="2"/>
  <c r="L38" i="2"/>
  <c r="Q77" i="2"/>
  <c r="S112" i="2"/>
  <c r="S190" i="2"/>
  <c r="I615" i="2"/>
  <c r="W818" i="2"/>
  <c r="J487" i="2"/>
  <c r="O10" i="2"/>
  <c r="S610" i="2"/>
  <c r="O524" i="2"/>
  <c r="N304" i="2"/>
  <c r="T785" i="2"/>
  <c r="M191" i="2"/>
  <c r="P169" i="2"/>
  <c r="M815"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1" i="2"/>
  <c r="Q89" i="2"/>
  <c r="U77" i="2"/>
  <c r="P442" i="2"/>
  <c r="N157" i="2"/>
  <c r="V112" i="2"/>
  <c r="U419" i="2"/>
  <c r="J423" i="2"/>
  <c r="P656" i="2"/>
  <c r="O553" i="2"/>
  <c r="S502" i="2"/>
  <c r="S146" i="2"/>
  <c r="L821" i="2"/>
  <c r="N546" i="2"/>
  <c r="V10" i="2"/>
  <c r="V525" i="2"/>
  <c r="L524" i="2"/>
  <c r="L366" i="2"/>
  <c r="U109" i="2"/>
  <c r="N54" i="2"/>
  <c r="W654" i="2"/>
  <c r="Q815" i="2"/>
  <c r="Q298" i="2" s="1"/>
  <c r="U10" i="2"/>
  <c r="V195" i="2"/>
  <c r="W77" i="2"/>
  <c r="P608" i="2"/>
  <c r="R785" i="2"/>
  <c r="U124" i="2"/>
  <c r="N195" i="2"/>
  <c r="W54" i="2"/>
  <c r="R112" i="2"/>
  <c r="R595" i="2"/>
  <c r="L190" i="2"/>
  <c r="T68" i="2"/>
  <c r="Q19" i="2"/>
  <c r="M430" i="2"/>
  <c r="N655" i="2"/>
  <c r="J488" i="2"/>
  <c r="Q545" i="2"/>
  <c r="Q112" i="2"/>
  <c r="W90" i="2"/>
  <c r="M541" i="2"/>
  <c r="T476" i="2"/>
  <c r="L655" i="2"/>
  <c r="T822" i="2"/>
  <c r="K432" i="2"/>
  <c r="T9" i="2"/>
  <c r="W76" i="2"/>
  <c r="Q656" i="2"/>
  <c r="L182" i="2"/>
  <c r="Q615" i="2"/>
  <c r="W182" i="2"/>
  <c r="L252" i="2"/>
  <c r="U296" i="2"/>
  <c r="K81" i="2"/>
  <c r="M23" i="2"/>
  <c r="T662" i="2"/>
  <c r="W480" i="2"/>
  <c r="V252" i="2"/>
  <c r="N57" i="2"/>
  <c r="T33" i="2"/>
  <c r="L545" i="2"/>
  <c r="R195" i="2"/>
  <c r="M502" i="2"/>
  <c r="Q319" i="2"/>
  <c r="V442" i="2"/>
  <c r="J534" i="2"/>
  <c r="O260" i="2"/>
  <c r="M662" i="2"/>
  <c r="V271" i="2"/>
  <c r="J115" i="2"/>
  <c r="N112" i="2"/>
  <c r="S172" i="2"/>
  <c r="K304" i="2"/>
  <c r="I821" i="2"/>
  <c r="I499" i="2"/>
  <c r="O610" i="2"/>
  <c r="Q190" i="2"/>
  <c r="L352" i="2"/>
  <c r="V248" i="2"/>
  <c r="P112" i="2"/>
  <c r="V366" i="2"/>
  <c r="L54" i="2"/>
  <c r="S785" i="2"/>
  <c r="M609" i="2"/>
  <c r="W545" i="2"/>
  <c r="K267" i="2"/>
  <c r="S546" i="2"/>
  <c r="J667" i="2"/>
  <c r="T818" i="2"/>
  <c r="U138" i="2"/>
  <c r="K664" i="2"/>
  <c r="P9" i="2"/>
  <c r="J547" i="2"/>
  <c r="I662" i="2"/>
  <c r="S23" i="2"/>
  <c r="U248" i="2"/>
  <c r="V467" i="2"/>
  <c r="U259" i="2"/>
  <c r="P376" i="2"/>
  <c r="R181" i="2"/>
  <c r="K68" i="2"/>
  <c r="U823" i="2"/>
  <c r="O81" i="2"/>
  <c r="N600" i="2"/>
  <c r="J660" i="2"/>
  <c r="U433" i="2"/>
  <c r="Q430" i="2"/>
  <c r="W525" i="2"/>
  <c r="P274" i="2"/>
  <c r="K538" i="2"/>
  <c r="N163" i="2"/>
  <c r="N48" i="2"/>
  <c r="I91" i="2"/>
  <c r="T596" i="2"/>
  <c r="O133" i="2"/>
  <c r="S388" i="2"/>
  <c r="Q115" i="2"/>
  <c r="Q362" i="2"/>
  <c r="O664" i="2"/>
  <c r="V663" i="2"/>
  <c r="Q475" i="2"/>
  <c r="N91" i="2"/>
  <c r="T30" i="2"/>
  <c r="J328" i="2"/>
  <c r="R133" i="2"/>
  <c r="P499" i="2"/>
  <c r="I534" i="2"/>
  <c r="K525" i="2"/>
  <c r="K524" i="2"/>
  <c r="O381" i="2"/>
  <c r="V305" i="2"/>
  <c r="K557" i="2"/>
  <c r="I480" i="2"/>
  <c r="P557" i="2"/>
  <c r="N33" i="2"/>
  <c r="J31" i="2"/>
  <c r="P76" i="2"/>
  <c r="M660" i="2"/>
  <c r="I418" i="2"/>
  <c r="L296" i="2"/>
  <c r="K48" i="2"/>
  <c r="M619" i="2"/>
  <c r="I182" i="2"/>
  <c r="V662" i="2"/>
  <c r="P90" i="2"/>
  <c r="U660" i="2"/>
  <c r="U148" i="2"/>
  <c r="M90" i="2"/>
  <c r="U502" i="2"/>
  <c r="J10" i="2"/>
  <c r="R353" i="2"/>
  <c r="W23" i="2"/>
  <c r="P480" i="2"/>
  <c r="I296" i="2"/>
  <c r="V438" i="2"/>
  <c r="N548" i="2"/>
  <c r="T823" i="2"/>
  <c r="I172" i="2"/>
  <c r="Q385" i="2"/>
  <c r="K100" i="2"/>
  <c r="P546" i="2"/>
  <c r="I195" i="2"/>
  <c r="U553" i="2"/>
  <c r="O90" i="2"/>
  <c r="U100" i="2"/>
  <c r="J67" i="2"/>
  <c r="I238" i="2"/>
  <c r="L822"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5" i="2"/>
  <c r="W147" i="2"/>
  <c r="W442" i="2"/>
  <c r="S30" i="2"/>
  <c r="N466" i="2"/>
  <c r="M538" i="2"/>
  <c r="W821" i="2"/>
  <c r="W505" i="2" s="1"/>
  <c r="W499" i="2"/>
  <c r="I318" i="2"/>
  <c r="P553" i="2"/>
  <c r="V77" i="2"/>
  <c r="Q248" i="2"/>
  <c r="W57" i="2"/>
  <c r="U373" i="2"/>
  <c r="J191" i="2"/>
  <c r="N19" i="2"/>
  <c r="Q182" i="2"/>
  <c r="P662" i="2"/>
  <c r="S615" i="2"/>
  <c r="W656" i="2"/>
  <c r="O51" i="2"/>
  <c r="V115" i="2"/>
  <c r="I81" i="2"/>
  <c r="Q619" i="2"/>
  <c r="N541" i="2"/>
  <c r="I31" i="2"/>
  <c r="V100" i="2"/>
  <c r="I656" i="2"/>
  <c r="Q596" i="2"/>
  <c r="R19" i="2"/>
  <c r="J548" i="2"/>
  <c r="U622" i="2"/>
  <c r="P525" i="2"/>
  <c r="L124" i="2"/>
  <c r="L248" i="2"/>
  <c r="W328" i="2"/>
  <c r="O663" i="2"/>
  <c r="W660" i="2"/>
  <c r="R818" i="2"/>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1" i="2"/>
  <c r="T625" i="2" s="1"/>
  <c r="V818" i="2"/>
  <c r="K239" i="2"/>
  <c r="W361" i="2"/>
  <c r="N248" i="2"/>
  <c r="V361" i="2"/>
  <c r="Q664" i="2"/>
  <c r="R304" i="2"/>
  <c r="S181" i="2"/>
  <c r="N100" i="2"/>
  <c r="J369" i="2"/>
  <c r="M409" i="2"/>
  <c r="L547" i="2"/>
  <c r="K33" i="2"/>
  <c r="R423" i="2"/>
  <c r="J133" i="2"/>
  <c r="K181" i="2"/>
  <c r="R545" i="2"/>
  <c r="S125" i="2"/>
  <c r="L660" i="2"/>
  <c r="P54" i="2"/>
  <c r="J665" i="2"/>
  <c r="J557"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3" i="2"/>
  <c r="W655" i="2"/>
  <c r="L91" i="2"/>
  <c r="R295" i="2"/>
  <c r="R67" i="2"/>
  <c r="T324" i="2"/>
  <c r="S815" i="2"/>
  <c r="Q433" i="2"/>
  <c r="R490" i="2"/>
  <c r="R210" i="2"/>
  <c r="I42" i="2"/>
  <c r="L823" i="2"/>
  <c r="V419" i="2"/>
  <c r="S109" i="2"/>
  <c r="P109" i="2"/>
  <c r="L467" i="2"/>
  <c r="R655" i="2"/>
  <c r="Q785" i="2"/>
  <c r="O541" i="2"/>
  <c r="K548" i="2"/>
  <c r="O432" i="2"/>
  <c r="M524" i="2"/>
  <c r="P133" i="2"/>
  <c r="P10" i="2"/>
  <c r="S822"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5" i="2"/>
  <c r="W423" i="2"/>
  <c r="U133" i="2"/>
  <c r="K545" i="2"/>
  <c r="O255" i="2"/>
  <c r="I655" i="2"/>
  <c r="P466" i="2"/>
  <c r="W88" i="2"/>
  <c r="M115" i="2"/>
  <c r="L502" i="2"/>
  <c r="N430" i="2"/>
  <c r="R475" i="2"/>
  <c r="K822" i="2"/>
  <c r="W9" i="2"/>
  <c r="I89" i="2"/>
  <c r="W26" i="2"/>
  <c r="V595" i="2"/>
  <c r="J533" i="2"/>
  <c r="N109" i="2"/>
  <c r="U815" i="2"/>
  <c r="U413" i="2" s="1"/>
  <c r="Q823"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2" i="2"/>
  <c r="N182" i="2"/>
  <c r="J81" i="2"/>
  <c r="R553" i="2"/>
  <c r="P182" i="2"/>
  <c r="M248" i="2"/>
  <c r="T557" i="2"/>
  <c r="U125" i="2"/>
  <c r="N181" i="2"/>
  <c r="U467" i="2"/>
  <c r="O409" i="2"/>
  <c r="T214" i="2"/>
  <c r="P607" i="2"/>
  <c r="R822"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1" i="2"/>
  <c r="Q563" i="2" s="1"/>
  <c r="J546" i="2"/>
  <c r="R9" i="2"/>
  <c r="R426" i="2"/>
  <c r="M419" i="2"/>
  <c r="U204" i="2"/>
  <c r="L30" i="2"/>
  <c r="L26" i="2"/>
  <c r="M353" i="2"/>
  <c r="O172" i="2"/>
  <c r="V385" i="2"/>
  <c r="P68" i="2"/>
  <c r="K656" i="2"/>
  <c r="L77" i="2"/>
  <c r="S252" i="2"/>
  <c r="T489" i="2"/>
  <c r="L9" i="2"/>
  <c r="O353" i="2"/>
  <c r="O785" i="2"/>
  <c r="K362" i="2"/>
  <c r="V57" i="2"/>
  <c r="T608" i="2"/>
  <c r="L115" i="2"/>
  <c r="I596" i="2"/>
  <c r="J538" i="2"/>
  <c r="S475" i="2"/>
  <c r="J663" i="2"/>
  <c r="O546" i="2"/>
  <c r="M476" i="2"/>
  <c r="P352" i="2"/>
  <c r="U595" i="2"/>
  <c r="N622" i="2"/>
  <c r="W17" i="2"/>
  <c r="J19" i="2"/>
  <c r="V466" i="2"/>
  <c r="K124" i="2"/>
  <c r="U274" i="2"/>
  <c r="S538" i="2"/>
  <c r="N821" i="2"/>
  <c r="S115" i="2"/>
  <c r="L305" i="2"/>
  <c r="T480" i="2"/>
  <c r="U18" i="2"/>
  <c r="K818" i="2"/>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5" i="2"/>
  <c r="S238" i="2"/>
  <c r="I665" i="2"/>
  <c r="M665" i="2"/>
  <c r="S587" i="2"/>
  <c r="L525" i="2"/>
  <c r="N172" i="2"/>
  <c r="K600" i="2"/>
  <c r="L81" i="2"/>
  <c r="S361" i="2"/>
  <c r="R317" i="2"/>
  <c r="O318" i="2"/>
  <c r="L18" i="2"/>
  <c r="U609" i="2"/>
  <c r="T488" i="2"/>
  <c r="M239" i="2"/>
  <c r="K247" i="2"/>
  <c r="P548" i="2"/>
  <c r="W366" i="2"/>
  <c r="J214" i="2"/>
  <c r="U546" i="2"/>
  <c r="N255" i="2"/>
  <c r="M352" i="2"/>
  <c r="U361" i="2"/>
  <c r="J545" i="2"/>
  <c r="U112" i="2"/>
  <c r="P823"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8" i="2"/>
  <c r="U247" i="2"/>
  <c r="R191" i="2"/>
  <c r="J409" i="2"/>
  <c r="U33" i="2"/>
  <c r="I823" i="2"/>
  <c r="I634" i="2" s="1"/>
  <c r="I475" i="2"/>
  <c r="J490" i="2"/>
  <c r="L112" i="2"/>
  <c r="L656" i="2"/>
  <c r="S563" i="2"/>
  <c r="U67" i="2"/>
  <c r="R305" i="2"/>
  <c r="U51" i="2"/>
  <c r="Q260" i="2"/>
  <c r="L560" i="2"/>
  <c r="O106" i="2"/>
  <c r="N419" i="2"/>
  <c r="J822" i="2"/>
  <c r="J511" i="2" s="1"/>
  <c r="W659" i="2"/>
  <c r="T26" i="2"/>
  <c r="O309" i="2"/>
  <c r="Q480" i="2"/>
  <c r="R466" i="2"/>
  <c r="M821" i="2"/>
  <c r="J309" i="2"/>
  <c r="I560" i="2"/>
  <c r="J664" i="2"/>
  <c r="M54" i="2"/>
  <c r="M546" i="2"/>
  <c r="I51" i="2"/>
  <c r="N667" i="2"/>
  <c r="W51" i="2"/>
  <c r="T490" i="2"/>
  <c r="T89" i="2"/>
  <c r="P296" i="2"/>
  <c r="S823" i="2"/>
  <c r="I68" i="2"/>
  <c r="I815" i="2"/>
  <c r="I590" i="2" s="1"/>
  <c r="U664" i="2"/>
  <c r="O538" i="2"/>
  <c r="R654" i="2"/>
  <c r="R146" i="2"/>
  <c r="T815" i="2"/>
  <c r="T12" i="2" s="1"/>
  <c r="U534" i="2"/>
  <c r="W524" i="2"/>
  <c r="L466" i="2"/>
  <c r="O238" i="2"/>
  <c r="K248" i="2"/>
  <c r="K381" i="2"/>
  <c r="W541" i="2"/>
  <c r="R823" i="2"/>
  <c r="O480" i="2"/>
  <c r="T23" i="2"/>
  <c r="Q655" i="2"/>
  <c r="V124" i="2"/>
  <c r="R369" i="2"/>
  <c r="O545" i="2"/>
  <c r="L499" i="2"/>
  <c r="O433" i="2"/>
  <c r="P309" i="2"/>
  <c r="V373" i="2"/>
  <c r="J9" i="2"/>
  <c r="O548" i="2"/>
  <c r="S100" i="2"/>
  <c r="I260" i="2"/>
  <c r="R557" i="2"/>
  <c r="Q533" i="2"/>
  <c r="J138" i="2"/>
  <c r="Q667" i="2"/>
  <c r="R57" i="2"/>
  <c r="V328" i="2"/>
  <c r="I553" i="2"/>
  <c r="S239" i="2"/>
  <c r="T524" i="2"/>
  <c r="M106" i="2"/>
  <c r="Q660" i="2"/>
  <c r="O100" i="2"/>
  <c r="T603" i="2"/>
  <c r="R534" i="2"/>
  <c r="M181" i="2"/>
  <c r="S316" i="2"/>
  <c r="K375" i="2"/>
  <c r="R296" i="2"/>
  <c r="K77" i="2"/>
  <c r="J818" i="2"/>
  <c r="K195" i="2"/>
  <c r="V42" i="2"/>
  <c r="T18" i="2"/>
  <c r="K19" i="2"/>
  <c r="O134" i="2"/>
  <c r="R361" i="2"/>
  <c r="J54" i="2"/>
  <c r="V409" i="2"/>
  <c r="S133" i="2"/>
  <c r="O38" i="2"/>
  <c r="I547" i="2"/>
  <c r="M656" i="2"/>
  <c r="N138" i="2"/>
  <c r="T138" i="2"/>
  <c r="S138" i="2"/>
  <c r="I10" i="2"/>
  <c r="M488" i="2"/>
  <c r="P353" i="2"/>
  <c r="I106" i="2"/>
  <c r="P610" i="2"/>
  <c r="P410" i="2"/>
  <c r="N81" i="2"/>
  <c r="R203" i="2"/>
  <c r="M823" i="2"/>
  <c r="M634" i="2" s="1"/>
  <c r="V89" i="2"/>
  <c r="V109" i="2"/>
  <c r="N106" i="2"/>
  <c r="K115" i="2"/>
  <c r="J77" i="2"/>
  <c r="O442" i="2"/>
  <c r="K815" i="2"/>
  <c r="K13" i="2" s="1"/>
  <c r="P57" i="2"/>
  <c r="M238" i="2"/>
  <c r="W490" i="2"/>
  <c r="R667" i="2"/>
  <c r="V81" i="2"/>
  <c r="L533" i="2"/>
  <c r="J385" i="2"/>
  <c r="J541" i="2"/>
  <c r="R145" i="2"/>
  <c r="P318" i="2"/>
  <c r="T541" i="2"/>
  <c r="U26" i="2"/>
  <c r="T475" i="2"/>
  <c r="Q271" i="2"/>
  <c r="M30" i="2"/>
  <c r="I30" i="2"/>
  <c r="U190" i="2"/>
  <c r="Q587" i="2"/>
  <c r="K466" i="2"/>
  <c r="M9" i="2"/>
  <c r="K51" i="2"/>
  <c r="S317" i="2"/>
  <c r="R431" i="2"/>
  <c r="S548" i="2"/>
  <c r="T190" i="2"/>
  <c r="Q557" i="2"/>
  <c r="N822" i="2"/>
  <c r="N223" i="2" s="1"/>
  <c r="R659" i="2"/>
  <c r="O534" i="2"/>
  <c r="R476" i="2"/>
  <c r="S318" i="2"/>
  <c r="L475" i="2"/>
  <c r="V32" i="2"/>
  <c r="M622" i="2"/>
  <c r="J823"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8" i="2"/>
  <c r="S271" i="2"/>
  <c r="S664" i="2"/>
  <c r="Q317" i="2"/>
  <c r="Q312" i="2"/>
  <c r="Q426" i="2"/>
  <c r="Q654" i="2"/>
  <c r="Q431" i="2"/>
  <c r="L486" i="2"/>
  <c r="O152" i="2"/>
  <c r="P606" i="2"/>
  <c r="P201" i="2"/>
  <c r="I486" i="2"/>
  <c r="N934" i="2"/>
  <c r="N935" i="2" s="1"/>
  <c r="S494" i="2"/>
  <c r="P258" i="2"/>
  <c r="O437" i="2"/>
  <c r="V372" i="2"/>
  <c r="N258" i="2"/>
  <c r="N594" i="2"/>
  <c r="J594" i="2"/>
  <c r="Q144" i="2"/>
  <c r="I312" i="2"/>
  <c r="U934" i="2"/>
  <c r="U935" i="2" s="1"/>
  <c r="V144" i="2"/>
  <c r="Q258" i="2"/>
  <c r="V315" i="2"/>
  <c r="V201" i="2"/>
  <c r="N606" i="2"/>
  <c r="N494" i="2"/>
  <c r="N496" i="2" s="1"/>
  <c r="S920" i="2"/>
  <c r="S921" i="2" s="1"/>
  <c r="S922" i="2" s="1"/>
  <c r="P884" i="2"/>
  <c r="P885" i="2" s="1"/>
  <c r="P614" i="2"/>
  <c r="V429" i="2"/>
  <c r="O606" i="2"/>
  <c r="S486" i="2"/>
  <c r="J465" i="2"/>
  <c r="Q913" i="2"/>
  <c r="Q914" i="2" s="1"/>
  <c r="L532" i="2"/>
  <c r="N870" i="2"/>
  <c r="N871" i="2" s="1"/>
  <c r="R437" i="2"/>
  <c r="S95" i="2"/>
  <c r="O209" i="2"/>
  <c r="I315" i="2"/>
  <c r="K372" i="2"/>
  <c r="N906" i="2"/>
  <c r="N907" i="2" s="1"/>
  <c r="O429" i="2"/>
  <c r="P898" i="2"/>
  <c r="P899" i="2" s="1"/>
  <c r="O29" i="2"/>
  <c r="J29" i="2"/>
  <c r="I152" i="2"/>
  <c r="I154" i="2" s="1"/>
  <c r="L380" i="2"/>
  <c r="K494" i="2"/>
  <c r="M544" i="2"/>
  <c r="M920" i="2"/>
  <c r="M921" i="2" s="1"/>
  <c r="Q884" i="2"/>
  <c r="Q885" i="2" s="1"/>
  <c r="Q886" i="2" s="1"/>
  <c r="K29" i="2"/>
  <c r="K360" i="2"/>
  <c r="V266" i="2"/>
  <c r="R201" i="2"/>
  <c r="M532" i="2"/>
  <c r="N246" i="2"/>
  <c r="N237" i="2"/>
  <c r="Q532" i="2"/>
  <c r="K380" i="2"/>
  <c r="Q494" i="2"/>
  <c r="T494" i="2"/>
  <c r="T209" i="2"/>
  <c r="O144" i="2"/>
  <c r="P266" i="2"/>
  <c r="T544" i="2"/>
  <c r="I144" i="2"/>
  <c r="T152" i="2"/>
  <c r="P37" i="2"/>
  <c r="M594" i="2"/>
  <c r="V87" i="2"/>
  <c r="V877" i="2"/>
  <c r="V878" i="2" s="1"/>
  <c r="J614" i="2"/>
  <c r="U37" i="2"/>
  <c r="L913" i="2"/>
  <c r="L914" i="2" s="1"/>
  <c r="N941" i="2"/>
  <c r="N942" i="2" s="1"/>
  <c r="Q266" i="2"/>
  <c r="R417" i="2"/>
  <c r="W144" i="2"/>
  <c r="K152" i="2"/>
  <c r="K154" i="2" s="1"/>
  <c r="U437" i="2"/>
  <c r="L29" i="2"/>
  <c r="Q372" i="2"/>
  <c r="M614" i="2"/>
  <c r="T144" i="2"/>
  <c r="K863" i="2"/>
  <c r="K864" i="2" s="1"/>
  <c r="O913" i="2"/>
  <c r="O914" i="2" s="1"/>
  <c r="I474" i="2"/>
  <c r="N372" i="2"/>
  <c r="U544" i="2"/>
  <c r="W152" i="2"/>
  <c r="V417" i="2"/>
  <c r="Q29" i="2"/>
  <c r="V95" i="2"/>
  <c r="I429" i="2"/>
  <c r="Q898" i="2"/>
  <c r="Q899" i="2" s="1"/>
  <c r="U209" i="2"/>
  <c r="P144" i="2"/>
  <c r="O863" i="2"/>
  <c r="O864" i="2" s="1"/>
  <c r="S906" i="2"/>
  <c r="S907" i="2" s="1"/>
  <c r="K870" i="2"/>
  <c r="K871" i="2" s="1"/>
  <c r="W532" i="2"/>
  <c r="Q429" i="2"/>
  <c r="I906" i="2"/>
  <c r="I907" i="2" s="1"/>
  <c r="Q95" i="2"/>
  <c r="Q75" i="2"/>
  <c r="W606" i="2"/>
  <c r="T87" i="2"/>
  <c r="R884" i="2"/>
  <c r="R885" i="2" s="1"/>
  <c r="L594" i="2"/>
  <c r="M315" i="2"/>
  <c r="N532" i="2"/>
  <c r="V323" i="2"/>
  <c r="L941" i="2"/>
  <c r="L942" i="2" s="1"/>
  <c r="M927" i="2"/>
  <c r="M928" i="2" s="1"/>
  <c r="T863" i="2"/>
  <c r="T864" i="2" s="1"/>
  <c r="M360" i="2"/>
  <c r="T372" i="2"/>
  <c r="J95" i="2"/>
  <c r="J97" i="2" s="1"/>
  <c r="U315" i="2"/>
  <c r="L934" i="2"/>
  <c r="L935" i="2" s="1"/>
  <c r="U474" i="2"/>
  <c r="T29" i="2"/>
  <c r="W544" i="2"/>
  <c r="K486" i="2"/>
  <c r="O898" i="2"/>
  <c r="O899" i="2" s="1"/>
  <c r="S863" i="2"/>
  <c r="S864" i="2" s="1"/>
  <c r="P372" i="2"/>
  <c r="I201" i="2"/>
  <c r="O474" i="2"/>
  <c r="P474" i="2"/>
  <c r="M95" i="2"/>
  <c r="J654" i="2"/>
  <c r="O920" i="2"/>
  <c r="O921" i="2" s="1"/>
  <c r="M351" i="2"/>
  <c r="O75" i="2"/>
  <c r="M258" i="2"/>
  <c r="O266" i="2"/>
  <c r="T927" i="2"/>
  <c r="T928" i="2" s="1"/>
  <c r="P552" i="2"/>
  <c r="R486" i="2"/>
  <c r="T360" i="2"/>
  <c r="I266" i="2"/>
  <c r="P870" i="2"/>
  <c r="P871" i="2" s="1"/>
  <c r="L614" i="2"/>
  <c r="L426" i="2"/>
  <c r="N201" i="2"/>
  <c r="O877" i="2"/>
  <c r="O878" i="2" s="1"/>
  <c r="S360" i="2"/>
  <c r="S898" i="2"/>
  <c r="S899" i="2" s="1"/>
  <c r="S900" i="2" s="1"/>
  <c r="L877" i="2"/>
  <c r="L878" i="2" s="1"/>
  <c r="M494" i="2"/>
  <c r="K75" i="2"/>
  <c r="W29" i="2"/>
  <c r="K927" i="2"/>
  <c r="K928" i="2" s="1"/>
  <c r="R927" i="2"/>
  <c r="R928" i="2" s="1"/>
  <c r="U323" i="2"/>
  <c r="I552" i="2"/>
  <c r="T898" i="2"/>
  <c r="T899" i="2" s="1"/>
  <c r="V486" i="2"/>
  <c r="W594" i="2"/>
  <c r="J209" i="2"/>
  <c r="U17" i="2"/>
  <c r="O315" i="2"/>
  <c r="K594" i="2"/>
  <c r="N884" i="2"/>
  <c r="N885" i="2" s="1"/>
  <c r="N886" i="2" s="1"/>
  <c r="R494" i="2"/>
  <c r="I870" i="2"/>
  <c r="I871" i="2" s="1"/>
  <c r="I872" i="2" s="1"/>
  <c r="I66" i="2" s="1"/>
  <c r="P941" i="2"/>
  <c r="P942" i="2" s="1"/>
  <c r="R209" i="2"/>
  <c r="U891" i="2"/>
  <c r="U892" i="2" s="1"/>
  <c r="N891" i="2"/>
  <c r="N892" i="2" s="1"/>
  <c r="V258" i="2"/>
  <c r="N429" i="2"/>
  <c r="I323" i="2"/>
  <c r="M317" i="2"/>
  <c r="O544" i="2"/>
  <c r="L906" i="2"/>
  <c r="L907" i="2" s="1"/>
  <c r="L246" i="2"/>
  <c r="P323" i="2"/>
  <c r="W37" i="2"/>
  <c r="O532" i="2"/>
  <c r="I941" i="2"/>
  <c r="I942" i="2" s="1"/>
  <c r="I943" i="2" s="1"/>
  <c r="I445" i="2" s="1"/>
  <c r="U654" i="2"/>
  <c r="S201" i="2"/>
  <c r="S941" i="2"/>
  <c r="S942" i="2" s="1"/>
  <c r="T532" i="2"/>
  <c r="Q606" i="2"/>
  <c r="U941" i="2"/>
  <c r="U942" i="2" s="1"/>
  <c r="V941" i="2"/>
  <c r="V942" i="2" s="1"/>
  <c r="V943" i="2" s="1"/>
  <c r="I494" i="2"/>
  <c r="S380" i="2"/>
  <c r="U614" i="2"/>
  <c r="L437" i="2"/>
  <c r="K144" i="2"/>
  <c r="L884" i="2"/>
  <c r="L885" i="2" s="1"/>
  <c r="K934" i="2"/>
  <c r="K935" i="2" s="1"/>
  <c r="R323" i="2"/>
  <c r="U201" i="2"/>
  <c r="L209" i="2"/>
  <c r="I258" i="2"/>
  <c r="K941" i="2"/>
  <c r="K942" i="2" s="1"/>
  <c r="T941" i="2"/>
  <c r="T942" i="2" s="1"/>
  <c r="M552" i="2"/>
  <c r="P891" i="2"/>
  <c r="P892" i="2" s="1"/>
  <c r="J906" i="2"/>
  <c r="J907" i="2" s="1"/>
  <c r="P87" i="2"/>
  <c r="Q323" i="2"/>
  <c r="J494" i="2"/>
  <c r="S429" i="2"/>
  <c r="K429" i="2"/>
  <c r="R941" i="2"/>
  <c r="R942" i="2" s="1"/>
  <c r="R920" i="2"/>
  <c r="R921" i="2" s="1"/>
  <c r="R934" i="2"/>
  <c r="R935" i="2" s="1"/>
  <c r="U913" i="2"/>
  <c r="U914" i="2" s="1"/>
  <c r="M209" i="2"/>
  <c r="W246" i="2"/>
  <c r="J898" i="2"/>
  <c r="J899" i="2" s="1"/>
  <c r="U312" i="2"/>
  <c r="P920" i="2"/>
  <c r="P921" i="2" s="1"/>
  <c r="N465" i="2"/>
  <c r="N87" i="2"/>
  <c r="R877" i="2"/>
  <c r="R878" i="2" s="1"/>
  <c r="N317" i="2"/>
  <c r="L258" i="2"/>
  <c r="V606" i="2"/>
  <c r="I146" i="2"/>
  <c r="S877" i="2"/>
  <c r="S878" i="2" s="1"/>
  <c r="Q906" i="2"/>
  <c r="Q907" i="2" s="1"/>
  <c r="S144" i="2"/>
  <c r="U906" i="2"/>
  <c r="U907" i="2" s="1"/>
  <c r="I606" i="2"/>
  <c r="M144" i="2"/>
  <c r="L17" i="2"/>
  <c r="S189" i="2"/>
  <c r="P237" i="2"/>
  <c r="U431" i="2"/>
  <c r="S37" i="2"/>
  <c r="V303" i="2"/>
  <c r="T323" i="2"/>
  <c r="I927" i="2"/>
  <c r="I928" i="2" s="1"/>
  <c r="I929" i="2" s="1"/>
  <c r="I217" i="2" s="1"/>
  <c r="J144" i="2"/>
  <c r="R237" i="2"/>
  <c r="G90" i="2"/>
  <c r="P152" i="2"/>
  <c r="P863" i="2"/>
  <c r="P864" i="2" s="1"/>
  <c r="V29" i="2"/>
  <c r="O494" i="2"/>
  <c r="V920" i="2"/>
  <c r="V921" i="2" s="1"/>
  <c r="Q891" i="2"/>
  <c r="Q892" i="2" s="1"/>
  <c r="Q893" i="2" s="1"/>
  <c r="T465" i="2"/>
  <c r="V863" i="2"/>
  <c r="V864" i="2" s="1"/>
  <c r="M29" i="2"/>
  <c r="K920" i="2"/>
  <c r="K921" i="2" s="1"/>
  <c r="J941" i="2"/>
  <c r="J942" i="2" s="1"/>
  <c r="J943" i="2" s="1"/>
  <c r="J445" i="2" s="1"/>
  <c r="L201" i="2"/>
  <c r="M486" i="2"/>
  <c r="K312" i="2"/>
  <c r="M913" i="2"/>
  <c r="M914" i="2" s="1"/>
  <c r="M915" i="2" s="1"/>
  <c r="S323" i="2"/>
  <c r="W209" i="2"/>
  <c r="S913" i="2"/>
  <c r="S914" i="2" s="1"/>
  <c r="S915" i="2" s="1"/>
  <c r="S103" i="2" s="1"/>
  <c r="S258" i="2"/>
  <c r="N95" i="2"/>
  <c r="I317" i="2"/>
  <c r="S303" i="2"/>
  <c r="J884" i="2"/>
  <c r="J885" i="2" s="1"/>
  <c r="P246" i="2"/>
  <c r="P437" i="2"/>
  <c r="P494" i="2"/>
  <c r="K315" i="2"/>
  <c r="J532" i="2"/>
  <c r="W189" i="2"/>
  <c r="W486" i="2"/>
  <c r="G586" i="2"/>
  <c r="Q941" i="2"/>
  <c r="Q942" i="2" s="1"/>
  <c r="O654" i="2"/>
  <c r="T913" i="2"/>
  <c r="T914" i="2" s="1"/>
  <c r="T915" i="2" s="1"/>
  <c r="T103" i="2" s="1"/>
  <c r="O941" i="2"/>
  <c r="O942" i="2" s="1"/>
  <c r="O943" i="2" s="1"/>
  <c r="J934" i="2"/>
  <c r="J935" i="2" s="1"/>
  <c r="P913" i="2"/>
  <c r="P914" i="2" s="1"/>
  <c r="U927" i="2"/>
  <c r="U928" i="2" s="1"/>
  <c r="U75" i="2"/>
  <c r="W870" i="2"/>
  <c r="W871" i="2" s="1"/>
  <c r="T315" i="2"/>
  <c r="R594" i="2"/>
  <c r="R372" i="2"/>
  <c r="R95" i="2"/>
  <c r="L927" i="2"/>
  <c r="L928" i="2" s="1"/>
  <c r="T95" i="2"/>
  <c r="V380" i="2"/>
  <c r="J544" i="2"/>
  <c r="W585" i="2"/>
  <c r="P75" i="2"/>
  <c r="G499" i="2"/>
  <c r="N486" i="2"/>
  <c r="I29" i="2"/>
  <c r="J913" i="2"/>
  <c r="J914" i="2" s="1"/>
  <c r="J17" i="2"/>
  <c r="I431" i="2"/>
  <c r="K898" i="2"/>
  <c r="K899" i="2" s="1"/>
  <c r="L152" i="2"/>
  <c r="L87" i="2"/>
  <c r="L372" i="2"/>
  <c r="U360" i="2"/>
  <c r="L606" i="2"/>
  <c r="S17" i="2"/>
  <c r="Q246" i="2"/>
  <c r="S75" i="2"/>
  <c r="W437" i="2"/>
  <c r="L303" i="2"/>
  <c r="S152" i="2"/>
  <c r="T585" i="2"/>
  <c r="M380" i="2"/>
  <c r="L144" i="2"/>
  <c r="L898" i="2"/>
  <c r="L899" i="2" s="1"/>
  <c r="K614" i="2"/>
  <c r="K616" i="2" s="1"/>
  <c r="I37" i="2"/>
  <c r="S585" i="2"/>
  <c r="G429" i="2"/>
  <c r="P417" i="2"/>
  <c r="J201" i="2"/>
  <c r="L37" i="2"/>
  <c r="L351" i="2"/>
  <c r="S614" i="2"/>
  <c r="G419" i="2"/>
  <c r="T474" i="2"/>
  <c r="O372" i="2"/>
  <c r="M372" i="2"/>
  <c r="P380" i="2"/>
  <c r="J246" i="2"/>
  <c r="R258" i="2"/>
  <c r="L360" i="2"/>
  <c r="N266" i="2"/>
  <c r="O884" i="2"/>
  <c r="O885" i="2" s="1"/>
  <c r="U863" i="2"/>
  <c r="U864" i="2" s="1"/>
  <c r="Q927" i="2"/>
  <c r="Q928" i="2" s="1"/>
  <c r="J891" i="2"/>
  <c r="J892" i="2" s="1"/>
  <c r="W429" i="2"/>
  <c r="J87" i="2"/>
  <c r="V552" i="2"/>
  <c r="G369" i="2"/>
  <c r="I303" i="2"/>
  <c r="V898" i="2"/>
  <c r="V899" i="2" s="1"/>
  <c r="P29" i="2"/>
  <c r="P95" i="2"/>
  <c r="T437" i="2"/>
  <c r="W920" i="2"/>
  <c r="W921" i="2" s="1"/>
  <c r="S266" i="2"/>
  <c r="M237" i="2"/>
  <c r="U144" i="2"/>
  <c r="K906" i="2"/>
  <c r="K907" i="2" s="1"/>
  <c r="U246" i="2"/>
  <c r="U303" i="2"/>
  <c r="P532" i="2"/>
  <c r="O465" i="2"/>
  <c r="I246" i="2"/>
  <c r="S891" i="2"/>
  <c r="S892" i="2" s="1"/>
  <c r="J152" i="2"/>
  <c r="T552" i="2"/>
  <c r="V544" i="2"/>
  <c r="P594" i="2"/>
  <c r="J146" i="2"/>
  <c r="V594" i="2"/>
  <c r="V189" i="2"/>
  <c r="I920" i="2"/>
  <c r="I921" i="2" s="1"/>
  <c r="I922" i="2" s="1"/>
  <c r="I160" i="2" s="1"/>
  <c r="W494" i="2"/>
  <c r="G259" i="2"/>
  <c r="O594" i="2"/>
  <c r="G318" i="2"/>
  <c r="J360" i="2"/>
  <c r="G385" i="2"/>
  <c r="T906" i="2"/>
  <c r="T907" i="2" s="1"/>
  <c r="N863" i="2"/>
  <c r="N864" i="2" s="1"/>
  <c r="G248" i="2"/>
  <c r="U380" i="2"/>
  <c r="W87" i="2"/>
  <c r="L654" i="2"/>
  <c r="V474" i="2"/>
  <c r="S465" i="2"/>
  <c r="T920" i="2"/>
  <c r="T921" i="2" s="1"/>
  <c r="N380" i="2"/>
  <c r="P934" i="2"/>
  <c r="P935" i="2" s="1"/>
  <c r="N877" i="2"/>
  <c r="N878" i="2" s="1"/>
  <c r="L552" i="2"/>
  <c r="Q417" i="2"/>
  <c r="U532" i="2"/>
  <c r="V934" i="2"/>
  <c r="V935" i="2" s="1"/>
  <c r="K474" i="2"/>
  <c r="K37" i="2"/>
  <c r="T891" i="2"/>
  <c r="T892" i="2" s="1"/>
  <c r="M17" i="2"/>
  <c r="R17" i="2"/>
  <c r="J877" i="2"/>
  <c r="J878" i="2" s="1"/>
  <c r="L494" i="2"/>
  <c r="V351" i="2"/>
  <c r="W417" i="2"/>
  <c r="N152" i="2"/>
  <c r="U870" i="2"/>
  <c r="U871" i="2" s="1"/>
  <c r="J429" i="2"/>
  <c r="G426" i="2"/>
  <c r="Q474" i="2"/>
  <c r="S246" i="2"/>
  <c r="W651" i="2"/>
  <c r="R898" i="2"/>
  <c r="R899" i="2" s="1"/>
  <c r="G487" i="2"/>
  <c r="W552" i="2"/>
  <c r="I380" i="2"/>
  <c r="T75" i="2"/>
  <c r="J474" i="2"/>
  <c r="R891" i="2"/>
  <c r="R892" i="2" s="1"/>
  <c r="W258" i="2"/>
  <c r="G476" i="2"/>
  <c r="T258" i="2"/>
  <c r="T201" i="2"/>
  <c r="U486" i="2"/>
  <c r="G303" i="2"/>
  <c r="P360" i="2"/>
  <c r="S552" i="2"/>
  <c r="I87" i="2"/>
  <c r="G324" i="2"/>
  <c r="G48" i="2"/>
  <c r="O380" i="2"/>
  <c r="R380" i="2"/>
  <c r="L544" i="2"/>
  <c r="R152" i="2"/>
  <c r="K532" i="2"/>
  <c r="T17" i="2"/>
  <c r="S870" i="2"/>
  <c r="S871" i="2" s="1"/>
  <c r="I877" i="2"/>
  <c r="I878" i="2" s="1"/>
  <c r="I879" i="2" s="1"/>
  <c r="I123" i="2" s="1"/>
  <c r="U884" i="2"/>
  <c r="U885" i="2" s="1"/>
  <c r="Q552" i="2"/>
  <c r="T417" i="2"/>
  <c r="J920" i="2"/>
  <c r="J921" i="2" s="1"/>
  <c r="J922" i="2" s="1"/>
  <c r="J160" i="2" s="1"/>
  <c r="V360" i="2"/>
  <c r="G148" i="2"/>
  <c r="N29" i="2"/>
  <c r="W132" i="2"/>
  <c r="Q380" i="2"/>
  <c r="M431" i="2"/>
  <c r="R315" i="2"/>
  <c r="M152" i="2"/>
  <c r="R144" i="2"/>
  <c r="S29" i="2"/>
  <c r="P315" i="2"/>
  <c r="G260" i="2"/>
  <c r="L95" i="2"/>
  <c r="Q17" i="2"/>
  <c r="Q877" i="2"/>
  <c r="Q878" i="2" s="1"/>
  <c r="O360" i="2"/>
  <c r="T486" i="2"/>
  <c r="N927" i="2"/>
  <c r="N928" i="2" s="1"/>
  <c r="I652" i="2"/>
  <c r="D44" i="27" s="1"/>
  <c r="F44" i="27" s="1"/>
  <c r="N898" i="2"/>
  <c r="N899" i="2" s="1"/>
  <c r="U429" i="2"/>
  <c r="M87" i="2"/>
  <c r="W877" i="2"/>
  <c r="W878" i="2" s="1"/>
  <c r="O426" i="2"/>
  <c r="I166" i="2"/>
  <c r="Q920" i="2"/>
  <c r="Q921" i="2" s="1"/>
  <c r="Q922" i="2" s="1"/>
  <c r="T594" i="2"/>
  <c r="K544" i="2"/>
  <c r="G502" i="2"/>
  <c r="R429" i="2"/>
  <c r="S606" i="2"/>
  <c r="W237" i="2"/>
  <c r="S209" i="2"/>
  <c r="N920" i="2"/>
  <c r="N921" i="2" s="1"/>
  <c r="K606" i="2"/>
  <c r="P877" i="2"/>
  <c r="P878" i="2" s="1"/>
  <c r="M877" i="2"/>
  <c r="M878" i="2" s="1"/>
  <c r="M879" i="2" s="1"/>
  <c r="L317" i="2"/>
  <c r="M75" i="2"/>
  <c r="O246" i="2"/>
  <c r="K246" i="2"/>
  <c r="O317" i="2"/>
  <c r="U266" i="2"/>
  <c r="G547" i="2"/>
  <c r="Q87" i="2"/>
  <c r="S594" i="2"/>
  <c r="L266" i="2"/>
  <c r="V891" i="2"/>
  <c r="V892" i="2" s="1"/>
  <c r="W95" i="2"/>
  <c r="G274" i="2"/>
  <c r="T189" i="2"/>
  <c r="L315" i="2"/>
  <c r="S417" i="2"/>
  <c r="K877" i="2"/>
  <c r="K878" i="2" s="1"/>
  <c r="V75" i="2"/>
  <c r="T37" i="2"/>
  <c r="I237" i="2"/>
  <c r="R606" i="2"/>
  <c r="M870" i="2"/>
  <c r="M871" i="2" s="1"/>
  <c r="I75" i="2"/>
  <c r="W303" i="2"/>
  <c r="V906" i="2"/>
  <c r="V907" i="2" s="1"/>
  <c r="R863" i="2"/>
  <c r="R864" i="2" s="1"/>
  <c r="R37" i="2"/>
  <c r="Q934" i="2"/>
  <c r="Q935" i="2" s="1"/>
  <c r="Q936" i="2" s="1"/>
  <c r="P927" i="2"/>
  <c r="P928" i="2" s="1"/>
  <c r="I351" i="2"/>
  <c r="U87" i="2"/>
  <c r="M659" i="2"/>
  <c r="V523" i="2"/>
  <c r="I145" i="2"/>
  <c r="S372" i="2"/>
  <c r="I594" i="2"/>
  <c r="S474" i="2"/>
  <c r="M884" i="2"/>
  <c r="M885" i="2" s="1"/>
  <c r="G533" i="2"/>
  <c r="G606" i="2"/>
  <c r="G353" i="2"/>
  <c r="U372" i="2"/>
  <c r="J258" i="2"/>
  <c r="R465" i="2"/>
  <c r="I891" i="2"/>
  <c r="I892" i="2" s="1"/>
  <c r="I893" i="2" s="1"/>
  <c r="I294" i="2" s="1"/>
  <c r="V651" i="2"/>
  <c r="U594" i="2"/>
  <c r="I532" i="2"/>
  <c r="Q614" i="2"/>
  <c r="I465" i="2"/>
  <c r="T303" i="2"/>
  <c r="J315" i="2"/>
  <c r="V246" i="2"/>
  <c r="U523" i="2"/>
  <c r="M941" i="2"/>
  <c r="M942" i="2" s="1"/>
  <c r="M943" i="2" s="1"/>
  <c r="O659" i="2"/>
  <c r="I426" i="2"/>
  <c r="V927" i="2"/>
  <c r="V928" i="2" s="1"/>
  <c r="J606" i="2"/>
  <c r="T934" i="2"/>
  <c r="T935"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4" i="2"/>
  <c r="G885" i="2" s="1"/>
  <c r="G886" i="2" s="1"/>
  <c r="G180" i="2" s="1"/>
  <c r="U417" i="2"/>
  <c r="U494" i="2"/>
  <c r="G545" i="2"/>
  <c r="K437" i="2"/>
  <c r="G262" i="2"/>
  <c r="G433" i="2"/>
  <c r="G376" i="2"/>
  <c r="O201" i="2"/>
  <c r="K317" i="2"/>
  <c r="P906" i="2"/>
  <c r="P907" i="2" s="1"/>
  <c r="T884" i="2"/>
  <c r="T885" i="2" s="1"/>
  <c r="N426" i="2"/>
  <c r="R532" i="2"/>
  <c r="M312" i="2"/>
  <c r="J317" i="2"/>
  <c r="G818" i="2"/>
  <c r="K552" i="2"/>
  <c r="G88" i="2"/>
  <c r="J37" i="2"/>
  <c r="O585" i="2"/>
  <c r="G255" i="2"/>
  <c r="R351" i="2"/>
  <c r="O258" i="2"/>
  <c r="G153" i="2"/>
  <c r="J486" i="2"/>
  <c r="U317" i="2"/>
  <c r="J372" i="2"/>
  <c r="J75" i="2"/>
  <c r="O95" i="2"/>
  <c r="N552" i="2"/>
  <c r="S934" i="2"/>
  <c r="S935" i="2" s="1"/>
  <c r="G132" i="2"/>
  <c r="L323" i="2"/>
  <c r="U237" i="2"/>
  <c r="U351" i="2"/>
  <c r="M906" i="2"/>
  <c r="M907" i="2" s="1"/>
  <c r="V614" i="2"/>
  <c r="V616" i="2" s="1"/>
  <c r="N614" i="2"/>
  <c r="U920" i="2"/>
  <c r="U921" i="2" s="1"/>
  <c r="V494" i="2"/>
  <c r="W266" i="2"/>
  <c r="M474" i="2"/>
  <c r="W906" i="2"/>
  <c r="W907" i="2" s="1"/>
  <c r="W951" i="2" s="1"/>
  <c r="S315" i="2"/>
  <c r="P317" i="2"/>
  <c r="L659" i="2"/>
  <c r="L75" i="2"/>
  <c r="W913" i="2"/>
  <c r="W914" i="2" s="1"/>
  <c r="V209" i="2"/>
  <c r="G596" i="2"/>
  <c r="M145" i="2"/>
  <c r="O37" i="2"/>
  <c r="I913" i="2"/>
  <c r="I914" i="2" s="1"/>
  <c r="I915" i="2" s="1"/>
  <c r="I103" i="2" s="1"/>
  <c r="G30" i="2"/>
  <c r="J323" i="2"/>
  <c r="G660" i="2"/>
  <c r="N209" i="2"/>
  <c r="G323" i="2"/>
  <c r="G934" i="2"/>
  <c r="G935" i="2" s="1"/>
  <c r="G936" i="2" s="1"/>
  <c r="G331" i="2" s="1"/>
  <c r="R913" i="2"/>
  <c r="R914" i="2" s="1"/>
  <c r="R915" i="2" s="1"/>
  <c r="G442" i="2"/>
  <c r="Q146" i="2"/>
  <c r="O323" i="2"/>
  <c r="G210" i="2"/>
  <c r="U552" i="2"/>
  <c r="M426" i="2"/>
  <c r="I372" i="2"/>
  <c r="S884" i="2"/>
  <c r="S885" i="2" s="1"/>
  <c r="S886" i="2" s="1"/>
  <c r="K146" i="2"/>
  <c r="N474" i="2"/>
  <c r="G87" i="2"/>
  <c r="P585" i="2"/>
  <c r="W372" i="2"/>
  <c r="K201" i="2"/>
  <c r="G373" i="2"/>
  <c r="G191" i="2"/>
  <c r="I437" i="2"/>
  <c r="R266" i="2"/>
  <c r="I95" i="2"/>
  <c r="G362" i="2"/>
  <c r="N544" i="2"/>
  <c r="U189" i="2"/>
  <c r="G486" i="2"/>
  <c r="O431" i="2"/>
  <c r="O303" i="2"/>
  <c r="J927" i="2"/>
  <c r="J928" i="2" s="1"/>
  <c r="P351" i="2"/>
  <c r="K884" i="2"/>
  <c r="K885" i="2" s="1"/>
  <c r="L429" i="2"/>
  <c r="R75" i="2"/>
  <c r="G474" i="2"/>
  <c r="G296" i="2"/>
  <c r="G317" i="2"/>
  <c r="T266" i="2"/>
  <c r="P429" i="2"/>
  <c r="O927" i="2"/>
  <c r="O928" i="2" s="1"/>
  <c r="G906" i="2"/>
  <c r="G907" i="2" s="1"/>
  <c r="G951" i="2" s="1"/>
  <c r="R87" i="2"/>
  <c r="O523" i="2"/>
  <c r="G870" i="2"/>
  <c r="G871" i="2" s="1"/>
  <c r="G872" i="2" s="1"/>
  <c r="G66" i="2" s="1"/>
  <c r="G316" i="2"/>
  <c r="G112" i="2"/>
  <c r="T351" i="2"/>
  <c r="T606" i="2"/>
  <c r="G490" i="2"/>
  <c r="W863" i="2"/>
  <c r="W864" i="2" s="1"/>
  <c r="G532" i="2"/>
  <c r="V132" i="2"/>
  <c r="G877" i="2"/>
  <c r="T429" i="2"/>
  <c r="L920" i="2"/>
  <c r="L921" i="2" s="1"/>
  <c r="M246" i="2"/>
  <c r="U198" i="2"/>
  <c r="W891" i="2"/>
  <c r="W892" i="2" s="1"/>
  <c r="Q37" i="2"/>
  <c r="G622" i="2"/>
  <c r="G202" i="2"/>
  <c r="W884" i="2"/>
  <c r="W885" i="2" s="1"/>
  <c r="G237" i="2"/>
  <c r="Q585" i="2"/>
  <c r="W898" i="2"/>
  <c r="W899" i="2" s="1"/>
  <c r="K132" i="2"/>
  <c r="G654" i="2"/>
  <c r="U166" i="2"/>
  <c r="O417" i="2"/>
  <c r="G664" i="2"/>
  <c r="G17" i="2"/>
  <c r="S87" i="2"/>
  <c r="W927" i="2"/>
  <c r="W928" i="2" s="1"/>
  <c r="N360" i="2"/>
  <c r="G483" i="2"/>
  <c r="I585" i="2"/>
  <c r="V870" i="2"/>
  <c r="V871" i="2" s="1"/>
  <c r="W682" i="2"/>
  <c r="Y682" i="2" s="1"/>
  <c r="Z682" i="2" s="1"/>
  <c r="Q544" i="2"/>
  <c r="G239" i="2"/>
  <c r="K659" i="2"/>
  <c r="M132" i="2"/>
  <c r="G546" i="2"/>
  <c r="G381" i="2"/>
  <c r="U465" i="2"/>
  <c r="W474" i="2"/>
  <c r="W614" i="2"/>
  <c r="Q594" i="2"/>
  <c r="R906" i="2"/>
  <c r="R907" i="2" s="1"/>
  <c r="I203" i="2"/>
  <c r="V884" i="2"/>
  <c r="V885" i="2" s="1"/>
  <c r="V532" i="2"/>
  <c r="L237" i="2"/>
  <c r="G152" i="2"/>
  <c r="O17" i="2"/>
  <c r="L465" i="2"/>
  <c r="P465" i="2"/>
  <c r="K87" i="2"/>
  <c r="J431" i="2"/>
  <c r="I360" i="2"/>
  <c r="P145" i="2"/>
  <c r="M437" i="2"/>
  <c r="U145" i="2"/>
  <c r="K913" i="2"/>
  <c r="K914" i="2" s="1"/>
  <c r="R29" i="2"/>
  <c r="G37" i="2"/>
  <c r="L585" i="2"/>
  <c r="G614" i="2"/>
  <c r="L863" i="2"/>
  <c r="L864" i="2" s="1"/>
  <c r="G38" i="2"/>
  <c r="S523" i="2"/>
  <c r="Q315" i="2"/>
  <c r="R474" i="2"/>
  <c r="R544" i="2"/>
  <c r="N166" i="2"/>
  <c r="Q303" i="2"/>
  <c r="L891" i="2"/>
  <c r="L892" i="2" s="1"/>
  <c r="L893" i="2" s="1"/>
  <c r="Q486" i="2"/>
  <c r="G295" i="2"/>
  <c r="G898" i="2"/>
  <c r="P544" i="2"/>
  <c r="K303" i="2"/>
  <c r="P523" i="2"/>
  <c r="G68" i="2"/>
  <c r="Q237" i="2"/>
  <c r="G23" i="2"/>
  <c r="G891" i="2"/>
  <c r="M465" i="2"/>
  <c r="O198" i="2"/>
  <c r="K431" i="2"/>
  <c r="G182" i="2"/>
  <c r="G100" i="2"/>
  <c r="M606" i="2"/>
  <c r="G238" i="2"/>
  <c r="G662" i="2"/>
  <c r="Q465" i="2"/>
  <c r="W360" i="2"/>
  <c r="G204" i="2"/>
  <c r="G115" i="2"/>
  <c r="G145" i="2"/>
  <c r="G144" i="2"/>
  <c r="N659" i="2"/>
  <c r="J351" i="2"/>
  <c r="G541" i="2"/>
  <c r="P146" i="2"/>
  <c r="K258" i="2"/>
  <c r="W75" i="2"/>
  <c r="P431" i="2"/>
  <c r="T132" i="2"/>
  <c r="Q201" i="2"/>
  <c r="J303" i="2"/>
  <c r="Q870" i="2"/>
  <c r="Q871" i="2" s="1"/>
  <c r="K426" i="2"/>
  <c r="G941" i="2"/>
  <c r="G942" i="2" s="1"/>
  <c r="G266" i="2"/>
  <c r="G655" i="2"/>
  <c r="G418" i="2"/>
  <c r="G659" i="2"/>
  <c r="U258" i="2"/>
  <c r="G133" i="2"/>
  <c r="G380" i="2"/>
  <c r="P659" i="2"/>
  <c r="P426" i="2"/>
  <c r="T246" i="2"/>
  <c r="J437" i="2"/>
  <c r="N146" i="2"/>
  <c r="M585" i="2"/>
  <c r="G209" i="2"/>
  <c r="G89" i="2"/>
  <c r="P166" i="2"/>
  <c r="K17" i="2"/>
  <c r="I544" i="2"/>
  <c r="G417" i="2"/>
  <c r="N75" i="2"/>
  <c r="N17" i="2"/>
  <c r="G822" i="2"/>
  <c r="G494" i="2"/>
  <c r="G106" i="2"/>
  <c r="R870" i="2"/>
  <c r="R871" i="2" s="1"/>
  <c r="N523" i="2"/>
  <c r="K145" i="2"/>
  <c r="Q152" i="2"/>
  <c r="G95" i="2"/>
  <c r="G147" i="2"/>
  <c r="G663" i="2"/>
  <c r="G315" i="2"/>
  <c r="G42" i="2"/>
  <c r="Q132" i="2"/>
  <c r="J585" i="2"/>
  <c r="I884" i="2"/>
  <c r="J863" i="2"/>
  <c r="J864" i="2" s="1"/>
  <c r="K266" i="2"/>
  <c r="M523" i="2"/>
  <c r="G557" i="2"/>
  <c r="T870" i="2"/>
  <c r="T871" i="2" s="1"/>
  <c r="G432" i="2"/>
  <c r="O652" i="2"/>
  <c r="D44" i="25" s="1"/>
  <c r="F44" i="25" s="1"/>
  <c r="G553" i="2"/>
  <c r="G615" i="2"/>
  <c r="K585" i="2"/>
  <c r="N37" i="2"/>
  <c r="G913" i="2"/>
  <c r="G914" i="2" s="1"/>
  <c r="T380" i="2"/>
  <c r="G665" i="2"/>
  <c r="J312" i="2"/>
  <c r="V913" i="2"/>
  <c r="V914" i="2" s="1"/>
  <c r="V915" i="2" s="1"/>
  <c r="G495" i="2"/>
  <c r="N351" i="2"/>
  <c r="G169" i="2"/>
  <c r="I898" i="2"/>
  <c r="I899" i="2" s="1"/>
  <c r="I900" i="2" s="1"/>
  <c r="I408" i="2" s="1"/>
  <c r="G587" i="2"/>
  <c r="G467" i="2"/>
  <c r="L145" i="2"/>
  <c r="R523" i="2"/>
  <c r="G388" i="2"/>
  <c r="G319" i="2"/>
  <c r="L166" i="2"/>
  <c r="P312" i="2"/>
  <c r="R360" i="2"/>
  <c r="I934" i="2"/>
  <c r="I935" i="2" s="1"/>
  <c r="I936" i="2" s="1"/>
  <c r="I331" i="2" s="1"/>
  <c r="G141" i="2"/>
  <c r="T877" i="2"/>
  <c r="T878" i="2" s="1"/>
  <c r="T879" i="2" s="1"/>
  <c r="U426" i="2"/>
  <c r="O312" i="2"/>
  <c r="P132" i="2"/>
  <c r="G594" i="2"/>
  <c r="G466" i="2"/>
  <c r="I417" i="2"/>
  <c r="G124" i="2"/>
  <c r="G920" i="2"/>
  <c r="K652" i="2"/>
  <c r="D44" i="17" s="1"/>
  <c r="F44" i="17" s="1"/>
  <c r="O87" i="2"/>
  <c r="M37" i="2"/>
  <c r="L417" i="2"/>
  <c r="G608" i="2"/>
  <c r="G214" i="2"/>
  <c r="Q166" i="2"/>
  <c r="G607" i="2"/>
  <c r="M898" i="2"/>
  <c r="M899" i="2" s="1"/>
  <c r="M900" i="2" s="1"/>
  <c r="J380" i="2"/>
  <c r="K323" i="2"/>
  <c r="J417" i="2"/>
  <c r="N315" i="2"/>
  <c r="V585" i="2"/>
  <c r="P209" i="2"/>
  <c r="P211" i="2" s="1"/>
  <c r="O146" i="2"/>
  <c r="G375" i="2"/>
  <c r="U585" i="2"/>
  <c r="U29" i="2"/>
  <c r="M654" i="2"/>
  <c r="G166" i="2"/>
  <c r="L870" i="2"/>
  <c r="L871" i="2" s="1"/>
  <c r="L872"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5" i="2"/>
  <c r="G297" i="2" s="1"/>
  <c r="Q351" i="2"/>
  <c r="G610" i="2"/>
  <c r="O486" i="2"/>
  <c r="U606" i="2"/>
  <c r="V152" i="2"/>
  <c r="J166" i="2"/>
  <c r="G652" i="2"/>
  <c r="W351" i="2"/>
  <c r="U877" i="2"/>
  <c r="U878" i="2" s="1"/>
  <c r="U879" i="2" s="1"/>
  <c r="U123" i="2" s="1"/>
  <c r="Q437" i="2"/>
  <c r="G361" i="2"/>
  <c r="U95" i="2"/>
  <c r="R651" i="2"/>
  <c r="G195" i="2"/>
  <c r="G651" i="2"/>
  <c r="N417" i="2"/>
  <c r="K166" i="2"/>
  <c r="K351" i="2"/>
  <c r="K198" i="2"/>
  <c r="S532" i="2"/>
  <c r="L146" i="2"/>
  <c r="M429" i="2"/>
  <c r="G609" i="2"/>
  <c r="I659" i="2"/>
  <c r="G157" i="2"/>
  <c r="G261" i="2"/>
  <c r="M189" i="2"/>
  <c r="N654" i="2"/>
  <c r="S927" i="2"/>
  <c r="S928" i="2" s="1"/>
  <c r="S929" i="2" s="1"/>
  <c r="O166" i="2"/>
  <c r="I198" i="2"/>
  <c r="G328" i="2"/>
  <c r="T523" i="2"/>
  <c r="G552" i="2"/>
  <c r="M863" i="2"/>
  <c r="M864" i="2" s="1"/>
  <c r="J237" i="2"/>
  <c r="G309" i="2"/>
  <c r="G372" i="2"/>
  <c r="Q360" i="2"/>
  <c r="G595" i="2"/>
  <c r="G523" i="2"/>
  <c r="G91" i="2"/>
  <c r="G304" i="2"/>
  <c r="G26" i="2"/>
  <c r="J870" i="2"/>
  <c r="J871" i="2" s="1"/>
  <c r="J872" i="2" s="1"/>
  <c r="J66" i="2" s="1"/>
  <c r="Q145" i="2"/>
  <c r="N303" i="2"/>
  <c r="G76" i="2"/>
  <c r="G10" i="2"/>
  <c r="V237" i="2"/>
  <c r="L132" i="2"/>
  <c r="S132" i="2"/>
  <c r="M891" i="2"/>
  <c r="M892" i="2" s="1"/>
  <c r="G438" i="2"/>
  <c r="K203" i="2"/>
  <c r="W315" i="2"/>
  <c r="G465" i="2"/>
  <c r="G352" i="2"/>
  <c r="G201" i="2"/>
  <c r="G560" i="2"/>
  <c r="P17" i="2"/>
  <c r="I614" i="2"/>
  <c r="Q659" i="2"/>
  <c r="I523" i="2"/>
  <c r="R303" i="2"/>
  <c r="O891" i="2"/>
  <c r="O892" i="2" s="1"/>
  <c r="O893" i="2" s="1"/>
  <c r="N312" i="2"/>
  <c r="Q523" i="2"/>
  <c r="G19" i="2"/>
  <c r="G146" i="2"/>
  <c r="O870" i="2"/>
  <c r="O871" i="2" s="1"/>
  <c r="P654" i="2"/>
  <c r="T614" i="2"/>
  <c r="N198" i="2"/>
  <c r="W941" i="2"/>
  <c r="U152" i="2"/>
  <c r="I863" i="2"/>
  <c r="I864" i="2" s="1"/>
  <c r="O906" i="2"/>
  <c r="O907" i="2" s="1"/>
  <c r="G181" i="2"/>
  <c r="V465" i="2"/>
  <c r="N323" i="2"/>
  <c r="G927" i="2"/>
  <c r="G928" i="2" s="1"/>
  <c r="G929"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3" i="2"/>
  <c r="G864" i="2" s="1"/>
  <c r="J651" i="2"/>
  <c r="G247" i="2"/>
  <c r="G351" i="2"/>
  <c r="P203" i="2"/>
  <c r="G267" i="2"/>
  <c r="Q863" i="2"/>
  <c r="Q864" i="2" s="1"/>
  <c r="Q652" i="2"/>
  <c r="L523" i="2"/>
  <c r="P303" i="2"/>
  <c r="G524" i="2"/>
  <c r="G821" i="2"/>
  <c r="G563" i="2" s="1"/>
  <c r="M652" i="2"/>
  <c r="D44" i="20" s="1"/>
  <c r="F44" i="20" s="1"/>
  <c r="I189" i="2"/>
  <c r="T651" i="2"/>
  <c r="U898" i="2"/>
  <c r="U899" i="2" s="1"/>
  <c r="V37" i="2"/>
  <c r="V39" i="2" s="1"/>
  <c r="I132" i="2"/>
  <c r="G538" i="2"/>
  <c r="M934" i="2"/>
  <c r="M935" i="2" s="1"/>
  <c r="R189" i="2"/>
  <c r="G54" i="2"/>
  <c r="G258" i="2"/>
  <c r="R132" i="2"/>
  <c r="J189" i="2"/>
  <c r="N145" i="2"/>
  <c r="R552" i="2"/>
  <c r="G9" i="2"/>
  <c r="U651" i="2"/>
  <c r="S237" i="2"/>
  <c r="G305" i="2"/>
  <c r="G203" i="2"/>
  <c r="N132" i="2"/>
  <c r="O934" i="2"/>
  <c r="O935" i="2" s="1"/>
  <c r="O936" i="2" s="1"/>
  <c r="G603" i="2"/>
  <c r="I209" i="2"/>
  <c r="K891" i="2"/>
  <c r="K892" i="2" s="1"/>
  <c r="G656" i="2"/>
  <c r="S651" i="2"/>
  <c r="G84" i="2"/>
  <c r="O203" i="2"/>
  <c r="G423" i="2"/>
  <c r="G163" i="2"/>
  <c r="M203" i="2"/>
  <c r="N189" i="2"/>
  <c r="G489" i="2"/>
  <c r="L651" i="2"/>
  <c r="G31" i="2"/>
  <c r="G548" i="2"/>
  <c r="G410" i="2"/>
  <c r="J552" i="2"/>
  <c r="G366" i="2"/>
  <c r="G823" i="2"/>
  <c r="G400" i="2" s="1"/>
  <c r="W934" i="2"/>
  <c r="W935" i="2" s="1"/>
  <c r="O145" i="2"/>
  <c r="I651" i="2"/>
  <c r="G172" i="2"/>
  <c r="M166" i="2"/>
  <c r="Q651" i="2"/>
  <c r="T237" i="2"/>
  <c r="K651" i="2"/>
  <c r="L203" i="2"/>
  <c r="M651" i="2"/>
  <c r="U132" i="2"/>
  <c r="G431" i="2"/>
  <c r="S351" i="2"/>
  <c r="G252" i="2"/>
  <c r="N913" i="2"/>
  <c r="N914" i="2" s="1"/>
  <c r="K523" i="2"/>
  <c r="G600" i="2"/>
  <c r="G585" i="2"/>
  <c r="G534" i="2"/>
  <c r="J132" i="2"/>
  <c r="G525" i="2"/>
  <c r="N203" i="2"/>
  <c r="G189" i="2"/>
  <c r="M146" i="2"/>
  <c r="G475" i="2"/>
  <c r="G96" i="2"/>
  <c r="G18" i="2"/>
  <c r="G138" i="2"/>
  <c r="G134" i="2"/>
  <c r="G619" i="2"/>
  <c r="M303" i="2"/>
  <c r="P651" i="2"/>
  <c r="G785" i="2"/>
  <c r="L189" i="2"/>
  <c r="W523" i="2"/>
  <c r="L198" i="2"/>
  <c r="G480" i="2"/>
  <c r="G190" i="2"/>
  <c r="G51" i="2"/>
  <c r="O189" i="2"/>
  <c r="N651" i="2"/>
  <c r="J198" i="2"/>
  <c r="O651" i="2"/>
  <c r="K189" i="2"/>
  <c r="P198" i="2"/>
  <c r="W616" i="2" l="1"/>
  <c r="W900" i="2"/>
  <c r="W904" i="2" s="1"/>
  <c r="V893" i="2"/>
  <c r="P879" i="2"/>
  <c r="J893" i="2"/>
  <c r="J294" i="2" s="1"/>
  <c r="J900" i="2"/>
  <c r="J408" i="2" s="1"/>
  <c r="K943" i="2"/>
  <c r="K445" i="2" s="1"/>
  <c r="I30" i="17" s="1"/>
  <c r="V445" i="2"/>
  <c r="O922" i="2"/>
  <c r="M922" i="2"/>
  <c r="L394" i="2"/>
  <c r="V872" i="2"/>
  <c r="N900" i="2"/>
  <c r="N408" i="2" s="1"/>
  <c r="S893" i="2"/>
  <c r="U929" i="2"/>
  <c r="R936" i="2"/>
  <c r="R331" i="2" s="1"/>
  <c r="S943" i="2"/>
  <c r="O872" i="2"/>
  <c r="Q872" i="2"/>
  <c r="O929" i="2"/>
  <c r="K886" i="2"/>
  <c r="M886" i="2"/>
  <c r="N180" i="2" s="1"/>
  <c r="E28" i="21" s="1"/>
  <c r="W879" i="2"/>
  <c r="W882" i="2" s="1"/>
  <c r="S872" i="2"/>
  <c r="R900" i="2"/>
  <c r="Q929" i="2"/>
  <c r="L929" i="2"/>
  <c r="P915" i="2"/>
  <c r="V922" i="2"/>
  <c r="R922" i="2"/>
  <c r="R160" i="2" s="1"/>
  <c r="P893" i="2"/>
  <c r="P294" i="2" s="1"/>
  <c r="K936" i="2"/>
  <c r="U943" i="2"/>
  <c r="P943" i="2"/>
  <c r="P445" i="2" s="1"/>
  <c r="I30" i="26" s="1"/>
  <c r="R886" i="2"/>
  <c r="R180" i="2" s="1"/>
  <c r="K872" i="2"/>
  <c r="K66" i="2" s="1"/>
  <c r="N936" i="2"/>
  <c r="O331" i="2" s="1"/>
  <c r="I29" i="25" s="1"/>
  <c r="S572" i="2"/>
  <c r="M563" i="2"/>
  <c r="T123" i="2"/>
  <c r="N915" i="2"/>
  <c r="N103" i="2" s="1"/>
  <c r="U900" i="2"/>
  <c r="V886" i="2"/>
  <c r="N929" i="2"/>
  <c r="V936" i="2"/>
  <c r="N879" i="2"/>
  <c r="N123" i="2" s="1"/>
  <c r="E14" i="21" s="1"/>
  <c r="S879" i="2"/>
  <c r="Q900" i="2"/>
  <c r="K448" i="2"/>
  <c r="J185" i="2"/>
  <c r="J915" i="2"/>
  <c r="J103" i="2" s="1"/>
  <c r="O900" i="2"/>
  <c r="L943" i="2"/>
  <c r="L445" i="2" s="1"/>
  <c r="I30" i="19" s="1"/>
  <c r="N457" i="2"/>
  <c r="T457" i="2"/>
  <c r="R505" i="2"/>
  <c r="R588" i="2"/>
  <c r="R563" i="2"/>
  <c r="J879" i="2"/>
  <c r="J123" i="2" s="1"/>
  <c r="K893" i="2"/>
  <c r="L294" i="2" s="1"/>
  <c r="M872" i="2"/>
  <c r="M66" i="2" s="1"/>
  <c r="Q879" i="2"/>
  <c r="Q123" i="2" s="1"/>
  <c r="K900" i="2"/>
  <c r="K408" i="2" s="1"/>
  <c r="T283" i="2"/>
  <c r="K457" i="2"/>
  <c r="O572" i="2"/>
  <c r="R277" i="2"/>
  <c r="R625" i="2"/>
  <c r="M445" i="2"/>
  <c r="I30" i="20" s="1"/>
  <c r="K922" i="2"/>
  <c r="K160" i="2" s="1"/>
  <c r="K915" i="2"/>
  <c r="K103" i="2" s="1"/>
  <c r="T922" i="2"/>
  <c r="T160" i="2" s="1"/>
  <c r="L936" i="2"/>
  <c r="L331" i="2" s="1"/>
  <c r="I29" i="19" s="1"/>
  <c r="Q915" i="2"/>
  <c r="Q103" i="2" s="1"/>
  <c r="M408" i="2"/>
  <c r="T872" i="2"/>
  <c r="T66" i="2" s="1"/>
  <c r="R872" i="2"/>
  <c r="R66" i="2" s="1"/>
  <c r="L922" i="2"/>
  <c r="L160" i="2" s="1"/>
  <c r="U922" i="2"/>
  <c r="U160" i="2" s="1"/>
  <c r="S936" i="2"/>
  <c r="S331" i="2" s="1"/>
  <c r="T886" i="2"/>
  <c r="T180" i="2" s="1"/>
  <c r="P929" i="2"/>
  <c r="P217" i="2" s="1"/>
  <c r="K879" i="2"/>
  <c r="K123" i="2" s="1"/>
  <c r="E14" i="17" s="1"/>
  <c r="N922" i="2"/>
  <c r="N160" i="2" s="1"/>
  <c r="I14" i="21" s="1"/>
  <c r="V900" i="2"/>
  <c r="V408" i="2" s="1"/>
  <c r="L900" i="2"/>
  <c r="L408" i="2" s="1"/>
  <c r="W872" i="2"/>
  <c r="W66" i="2" s="1"/>
  <c r="J936" i="2"/>
  <c r="J331" i="2" s="1"/>
  <c r="I29" i="32" s="1"/>
  <c r="Q943" i="2"/>
  <c r="Q445" i="2" s="1"/>
  <c r="P922" i="2"/>
  <c r="P160" i="2" s="1"/>
  <c r="R943" i="2"/>
  <c r="L886" i="2"/>
  <c r="L180" i="2" s="1"/>
  <c r="E28" i="19" s="1"/>
  <c r="N893" i="2"/>
  <c r="R929" i="2"/>
  <c r="O879" i="2"/>
  <c r="P872" i="2"/>
  <c r="P66" i="2" s="1"/>
  <c r="N943" i="2"/>
  <c r="N445" i="2" s="1"/>
  <c r="I30" i="21" s="1"/>
  <c r="V879" i="2"/>
  <c r="V123" i="2" s="1"/>
  <c r="J400" i="2"/>
  <c r="S71" i="2"/>
  <c r="L505" i="2"/>
  <c r="U563" i="2"/>
  <c r="U511" i="2"/>
  <c r="J505" i="2"/>
  <c r="O590" i="2"/>
  <c r="V505" i="2"/>
  <c r="V400" i="2"/>
  <c r="P283" i="2"/>
  <c r="O448" i="2"/>
  <c r="R391" i="2"/>
  <c r="R448" i="2"/>
  <c r="V929" i="2"/>
  <c r="V217" i="2" s="1"/>
  <c r="M936" i="2"/>
  <c r="M331" i="2" s="1"/>
  <c r="I29" i="20" s="1"/>
  <c r="M893" i="2"/>
  <c r="M294" i="2" s="1"/>
  <c r="W886" i="2"/>
  <c r="W889" i="2" s="1"/>
  <c r="W893" i="2"/>
  <c r="W896" i="2" s="1"/>
  <c r="J929" i="2"/>
  <c r="J217" i="2" s="1"/>
  <c r="I28" i="32" s="1"/>
  <c r="T936" i="2"/>
  <c r="T331" i="2" s="1"/>
  <c r="Q331" i="2"/>
  <c r="U886" i="2"/>
  <c r="R893" i="2"/>
  <c r="R294" i="2" s="1"/>
  <c r="U872" i="2"/>
  <c r="U66" i="2" s="1"/>
  <c r="T893" i="2"/>
  <c r="T294" i="2" s="1"/>
  <c r="P936" i="2"/>
  <c r="P331" i="2" s="1"/>
  <c r="I29" i="26" s="1"/>
  <c r="O886" i="2"/>
  <c r="O180" i="2" s="1"/>
  <c r="E28" i="25" s="1"/>
  <c r="R879" i="2"/>
  <c r="U915" i="2"/>
  <c r="U103" i="2" s="1"/>
  <c r="T943" i="2"/>
  <c r="T445" i="2" s="1"/>
  <c r="U893" i="2"/>
  <c r="T900" i="2"/>
  <c r="T408" i="2" s="1"/>
  <c r="K929" i="2"/>
  <c r="L879" i="2"/>
  <c r="L123" i="2" s="1"/>
  <c r="E14" i="19" s="1"/>
  <c r="T929" i="2"/>
  <c r="T217" i="2" s="1"/>
  <c r="M929" i="2"/>
  <c r="M217" i="2" s="1"/>
  <c r="O915" i="2"/>
  <c r="O103" i="2" s="1"/>
  <c r="L915" i="2"/>
  <c r="L103" i="2" s="1"/>
  <c r="P900" i="2"/>
  <c r="P408" i="2" s="1"/>
  <c r="N872" i="2"/>
  <c r="N66" i="2" s="1"/>
  <c r="P886" i="2"/>
  <c r="U936" i="2"/>
  <c r="U331" i="2" s="1"/>
  <c r="Q400" i="2"/>
  <c r="K451" i="2"/>
  <c r="V69" i="2"/>
  <c r="U572" i="2"/>
  <c r="N354" i="2"/>
  <c r="O280" i="2"/>
  <c r="P240" i="2"/>
  <c r="W223" i="2"/>
  <c r="R334" i="2"/>
  <c r="L240" i="2"/>
  <c r="W126" i="2"/>
  <c r="R220" i="2"/>
  <c r="J908" i="2"/>
  <c r="J951" i="2"/>
  <c r="R908" i="2"/>
  <c r="R951" i="2"/>
  <c r="M908" i="2"/>
  <c r="M951" i="2"/>
  <c r="T908" i="2"/>
  <c r="T951" i="2"/>
  <c r="Q908" i="2"/>
  <c r="Q951" i="2"/>
  <c r="N908" i="2"/>
  <c r="N951" i="2"/>
  <c r="L908" i="2"/>
  <c r="L951" i="2"/>
  <c r="L229" i="2" s="1"/>
  <c r="O908" i="2"/>
  <c r="O45" i="2" s="1"/>
  <c r="O951" i="2"/>
  <c r="O226" i="2" s="1"/>
  <c r="V908" i="2"/>
  <c r="V45" i="2" s="1"/>
  <c r="V951" i="2"/>
  <c r="K908" i="2"/>
  <c r="K951" i="2"/>
  <c r="I908" i="2"/>
  <c r="I45" i="2" s="1"/>
  <c r="I951" i="2"/>
  <c r="I226" i="2" s="1"/>
  <c r="S908" i="2"/>
  <c r="S45" i="2" s="1"/>
  <c r="S951" i="2"/>
  <c r="S226" i="2" s="1"/>
  <c r="P908" i="2"/>
  <c r="P45" i="2" s="1"/>
  <c r="P951" i="2"/>
  <c r="U908" i="2"/>
  <c r="U45" i="2" s="1"/>
  <c r="U951" i="2"/>
  <c r="U226" i="2" s="1"/>
  <c r="L183" i="2"/>
  <c r="F28" i="19" s="1"/>
  <c r="I439" i="2"/>
  <c r="W439" i="2"/>
  <c r="S496" i="2"/>
  <c r="P183" i="2"/>
  <c r="F28" i="26" s="1"/>
  <c r="U211" i="2"/>
  <c r="J616" i="2"/>
  <c r="T39" i="2"/>
  <c r="N211" i="2"/>
  <c r="O154" i="2"/>
  <c r="L154" i="2"/>
  <c r="L439" i="2"/>
  <c r="S154" i="2"/>
  <c r="W268" i="2"/>
  <c r="J211" i="2"/>
  <c r="W355" i="2"/>
  <c r="L185" i="2"/>
  <c r="Q439" i="2"/>
  <c r="J865" i="2"/>
  <c r="U865" i="2"/>
  <c r="V865" i="2"/>
  <c r="T865" i="2"/>
  <c r="R865" i="2"/>
  <c r="I865" i="2"/>
  <c r="I8" i="2" s="1"/>
  <c r="I961" i="2" s="1"/>
  <c r="W865" i="2"/>
  <c r="W8" i="2" s="1"/>
  <c r="S865" i="2"/>
  <c r="S8" i="2" s="1"/>
  <c r="S961" i="2" s="1"/>
  <c r="O865" i="2"/>
  <c r="M865" i="2"/>
  <c r="Q865" i="2"/>
  <c r="L865" i="2"/>
  <c r="N865" i="2"/>
  <c r="N8" i="2" s="1"/>
  <c r="N961" i="2" s="1"/>
  <c r="P865" i="2"/>
  <c r="P8" i="2" s="1"/>
  <c r="P961" i="2" s="1"/>
  <c r="K865" i="2"/>
  <c r="K8" i="2" s="1"/>
  <c r="K961"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X157" i="2"/>
  <c r="Y157" i="2" s="1"/>
  <c r="Z157" i="2" s="1"/>
  <c r="J14" i="17"/>
  <c r="V154" i="2"/>
  <c r="W382" i="2"/>
  <c r="J420" i="2"/>
  <c r="J306" i="2"/>
  <c r="G29" i="32" s="1"/>
  <c r="W78" i="2"/>
  <c r="R549" i="2"/>
  <c r="K135" i="2"/>
  <c r="G14" i="17" s="1"/>
  <c r="T434" i="2"/>
  <c r="R268" i="2"/>
  <c r="V496" i="2"/>
  <c r="J263" i="2"/>
  <c r="R39" i="2"/>
  <c r="W135" i="2"/>
  <c r="E14" i="27"/>
  <c r="J477" i="2"/>
  <c r="E14" i="3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2" i="2"/>
  <c r="Y822" i="2" s="1"/>
  <c r="Z822"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71" i="2"/>
  <c r="Y271" i="2" s="1"/>
  <c r="Z271" i="2" s="1"/>
  <c r="X205" i="2"/>
  <c r="Y205" i="2" s="1"/>
  <c r="Z205" i="2" s="1"/>
  <c r="X607" i="2"/>
  <c r="Y607" i="2" s="1"/>
  <c r="Z607" i="2" s="1"/>
  <c r="X42" i="2"/>
  <c r="Y42" i="2" s="1"/>
  <c r="Z42"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X619" i="2"/>
  <c r="Y619" i="2" s="1"/>
  <c r="Z619" i="2"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X214" i="2"/>
  <c r="Y214" i="2" s="1"/>
  <c r="Z21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X442" i="2"/>
  <c r="Y442" i="2" s="1"/>
  <c r="Z442" i="2" s="1"/>
  <c r="V211" i="2"/>
  <c r="W192" i="2"/>
  <c r="K634" i="2"/>
  <c r="O457" i="2"/>
  <c r="T34" i="2"/>
  <c r="O286" i="2"/>
  <c r="O514" i="2"/>
  <c r="X100" i="2"/>
  <c r="Y100" i="2" s="1"/>
  <c r="Z100" i="2" s="1"/>
  <c r="U192" i="2"/>
  <c r="X255" i="2"/>
  <c r="Y255" i="2" s="1"/>
  <c r="Z255" i="2" s="1"/>
  <c r="T263" i="2"/>
  <c r="P249" i="2"/>
  <c r="J34" i="2"/>
  <c r="T514" i="2"/>
  <c r="M590" i="2"/>
  <c r="M411" i="2"/>
  <c r="R240" i="2"/>
  <c r="Q283" i="2"/>
  <c r="L355" i="2"/>
  <c r="W796" i="2"/>
  <c r="W797" i="2"/>
  <c r="S549" i="2"/>
  <c r="V796" i="2"/>
  <c r="V797" i="2"/>
  <c r="R320" i="2"/>
  <c r="X324" i="2"/>
  <c r="Y324" i="2" s="1"/>
  <c r="Z324" i="2" s="1"/>
  <c r="U796" i="2"/>
  <c r="U797"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799" i="2"/>
  <c r="T535" i="2"/>
  <c r="L249" i="2"/>
  <c r="O78" i="2"/>
  <c r="X252" i="2"/>
  <c r="Y252" i="2" s="1"/>
  <c r="Z252" i="2" s="1"/>
  <c r="X328" i="2"/>
  <c r="Y328" i="2" s="1"/>
  <c r="Z328"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5" i="2"/>
  <c r="Y785" i="2" s="1"/>
  <c r="Z785"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I14" i="26"/>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X499" i="2"/>
  <c r="Y499" i="2" s="1"/>
  <c r="Z499"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X385" i="2"/>
  <c r="Y385" i="2" s="1"/>
  <c r="Z385" i="2" s="1"/>
  <c r="L20" i="2"/>
  <c r="L658" i="2" s="1"/>
  <c r="D45" i="19" s="1"/>
  <c r="G45" i="19" s="1"/>
  <c r="K45" i="19" s="1"/>
  <c r="L45" i="19" s="1"/>
  <c r="S128" i="2"/>
  <c r="M70" i="2"/>
  <c r="U514" i="2"/>
  <c r="Q355" i="2"/>
  <c r="Q356" i="2"/>
  <c r="R356" i="2"/>
  <c r="J71" i="2"/>
  <c r="Q412" i="2"/>
  <c r="R242" i="2"/>
  <c r="Q511" i="2"/>
  <c r="M491" i="2"/>
  <c r="M34" i="2"/>
  <c r="Q535" i="2"/>
  <c r="O470" i="2"/>
  <c r="I14" i="17"/>
  <c r="T526" i="2"/>
  <c r="S589" i="2"/>
  <c r="X476" i="2"/>
  <c r="Y476" i="2" s="1"/>
  <c r="Z476" i="2" s="1"/>
  <c r="Q263" i="2"/>
  <c r="M12" i="2"/>
  <c r="M412" i="2"/>
  <c r="Q470" i="2"/>
  <c r="Q299" i="2"/>
  <c r="V477" i="2"/>
  <c r="O535" i="2"/>
  <c r="W149" i="2"/>
  <c r="Q71" i="2"/>
  <c r="M69" i="2"/>
  <c r="Q413" i="2"/>
  <c r="D43" i="17"/>
  <c r="E43" i="17" s="1"/>
  <c r="X818" i="2"/>
  <c r="Y818" i="2" s="1"/>
  <c r="Z818"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I14" i="19"/>
  <c r="L535" i="2"/>
  <c r="T397" i="2"/>
  <c r="T628" i="2"/>
  <c r="H28" i="26"/>
  <c r="V34" i="2"/>
  <c r="I70" i="2"/>
  <c r="R297" i="2"/>
  <c r="P128" i="2"/>
  <c r="G634" i="2"/>
  <c r="X920" i="2"/>
  <c r="Y920" i="2" s="1"/>
  <c r="Z920" i="2" s="1"/>
  <c r="I468" i="2"/>
  <c r="P528" i="2"/>
  <c r="P413" i="2"/>
  <c r="P588" i="2"/>
  <c r="P13" i="2"/>
  <c r="W298" i="2"/>
  <c r="K297" i="2"/>
  <c r="X941" i="2"/>
  <c r="Y941" i="2" s="1"/>
  <c r="Z941"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3" i="2"/>
  <c r="Y823" i="2" s="1"/>
  <c r="Z823" i="2" s="1"/>
  <c r="M206" i="2"/>
  <c r="X75" i="2"/>
  <c r="Y75" i="2" s="1"/>
  <c r="Z75" i="2" s="1"/>
  <c r="X884" i="2"/>
  <c r="Y884" i="2" s="1"/>
  <c r="Z884" i="2" s="1"/>
  <c r="V354" i="2"/>
  <c r="X594" i="2"/>
  <c r="Y594" i="2" s="1"/>
  <c r="Z594" i="2" s="1"/>
  <c r="G211" i="2"/>
  <c r="G154" i="2"/>
  <c r="G382" i="2"/>
  <c r="G192" i="2"/>
  <c r="G28" i="14" s="1"/>
  <c r="W942" i="2"/>
  <c r="W943" i="2" s="1"/>
  <c r="U298" i="2"/>
  <c r="U70" i="2"/>
  <c r="S69" i="2"/>
  <c r="U505" i="2"/>
  <c r="J14" i="14"/>
  <c r="I885" i="2"/>
  <c r="I886" i="2" s="1"/>
  <c r="I180" i="2" s="1"/>
  <c r="E28" i="27" s="1"/>
  <c r="H30" i="25"/>
  <c r="G241" i="2"/>
  <c r="G13" i="2"/>
  <c r="G355" i="2"/>
  <c r="W408" i="2"/>
  <c r="I28" i="26"/>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5" i="2"/>
  <c r="Y815" i="2" s="1"/>
  <c r="Z815" i="2" s="1"/>
  <c r="G12" i="2"/>
  <c r="K325" i="2"/>
  <c r="G921" i="2"/>
  <c r="Q242" i="2"/>
  <c r="L320" i="2"/>
  <c r="W936" i="2"/>
  <c r="W331" i="2" s="1"/>
  <c r="W939"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4" i="2"/>
  <c r="Y864" i="2" s="1"/>
  <c r="Z864" i="2" s="1"/>
  <c r="G865" i="2"/>
  <c r="K44" i="19"/>
  <c r="L44" i="19" s="1"/>
  <c r="H28" i="27"/>
  <c r="G915" i="2"/>
  <c r="X914" i="2"/>
  <c r="Y914" i="2" s="1"/>
  <c r="Z914"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3" i="2"/>
  <c r="X145" i="2"/>
  <c r="Y145" i="2" s="1"/>
  <c r="Z145" i="2" s="1"/>
  <c r="H14" i="14"/>
  <c r="X17" i="2"/>
  <c r="Y17" i="2" s="1"/>
  <c r="Z17" i="2" s="1"/>
  <c r="P434" i="2"/>
  <c r="G92" i="2"/>
  <c r="X437" i="2"/>
  <c r="Y437" i="2" s="1"/>
  <c r="Z437" i="2" s="1"/>
  <c r="G514" i="2"/>
  <c r="G343" i="2"/>
  <c r="G572" i="2"/>
  <c r="X203" i="2"/>
  <c r="Y203" i="2" s="1"/>
  <c r="Z203" i="2" s="1"/>
  <c r="X132" i="2"/>
  <c r="Y132" i="2" s="1"/>
  <c r="Z132" i="2" s="1"/>
  <c r="X821" i="2"/>
  <c r="Y821" i="2" s="1"/>
  <c r="Z821" i="2" s="1"/>
  <c r="X863" i="2"/>
  <c r="Y863" i="2" s="1"/>
  <c r="Z863" i="2" s="1"/>
  <c r="G249" i="2"/>
  <c r="X927" i="2"/>
  <c r="Y927" i="2" s="1"/>
  <c r="Z927"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1" i="2"/>
  <c r="Y891" i="2" s="1"/>
  <c r="Z891" i="2" s="1"/>
  <c r="G892" i="2"/>
  <c r="X87" i="2"/>
  <c r="Y87" i="2" s="1"/>
  <c r="Z87" i="2" s="1"/>
  <c r="X532" i="2"/>
  <c r="Y532" i="2" s="1"/>
  <c r="Z532" i="2" s="1"/>
  <c r="W915" i="2"/>
  <c r="W103" i="2" s="1"/>
  <c r="W918" i="2"/>
  <c r="G448" i="2"/>
  <c r="G625" i="2"/>
  <c r="G229" i="2"/>
  <c r="X198" i="2"/>
  <c r="Y198" i="2" s="1"/>
  <c r="Z198" i="2" s="1"/>
  <c r="X312" i="2"/>
  <c r="Y312" i="2" s="1"/>
  <c r="Z312" i="2" s="1"/>
  <c r="G457" i="2"/>
  <c r="X146" i="2"/>
  <c r="Y146" i="2" s="1"/>
  <c r="Z146" i="2" s="1"/>
  <c r="X552" i="2"/>
  <c r="Y552" i="2" s="1"/>
  <c r="Z552" i="2" s="1"/>
  <c r="G299" i="2"/>
  <c r="X913" i="2"/>
  <c r="Y913" i="2" s="1"/>
  <c r="Z913" i="2" s="1"/>
  <c r="G242" i="2"/>
  <c r="G97" i="2"/>
  <c r="J439" i="2"/>
  <c r="H30" i="32"/>
  <c r="X380" i="2"/>
  <c r="Y380" i="2" s="1"/>
  <c r="Z380" i="2" s="1"/>
  <c r="G149" i="2"/>
  <c r="X144" i="2"/>
  <c r="Y144" i="2" s="1"/>
  <c r="Z144" i="2" s="1"/>
  <c r="X898" i="2"/>
  <c r="Y898" i="2" s="1"/>
  <c r="Z898" i="2" s="1"/>
  <c r="G616" i="2"/>
  <c r="W929" i="2"/>
  <c r="W217" i="2" s="1"/>
  <c r="W932" i="2"/>
  <c r="G908" i="2"/>
  <c r="X907" i="2"/>
  <c r="Y907" i="2" s="1"/>
  <c r="Z907" i="2" s="1"/>
  <c r="L434" i="2"/>
  <c r="G220" i="2"/>
  <c r="X928" i="2"/>
  <c r="Y928" i="2" s="1"/>
  <c r="Z928"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899" i="2"/>
  <c r="G39" i="2"/>
  <c r="U149" i="2"/>
  <c r="X877" i="2"/>
  <c r="Y877" i="2" s="1"/>
  <c r="Z877" i="2" s="1"/>
  <c r="X871" i="2"/>
  <c r="Y871" i="2" s="1"/>
  <c r="Z871" i="2" s="1"/>
  <c r="X486" i="2"/>
  <c r="Y486" i="2" s="1"/>
  <c r="Z486" i="2" s="1"/>
  <c r="K206" i="2"/>
  <c r="K44" i="32"/>
  <c r="L44" i="32" s="1"/>
  <c r="P149" i="2"/>
  <c r="X152" i="2"/>
  <c r="Y152" i="2" s="1"/>
  <c r="Z152" i="2" s="1"/>
  <c r="X237" i="2"/>
  <c r="Y237" i="2" s="1"/>
  <c r="Z237" i="2" s="1"/>
  <c r="X934" i="2"/>
  <c r="Y934" i="2" s="1"/>
  <c r="Z934" i="2" s="1"/>
  <c r="X323" i="2"/>
  <c r="Y323" i="2" s="1"/>
  <c r="Z323" i="2" s="1"/>
  <c r="M149" i="2"/>
  <c r="G135" i="2"/>
  <c r="G878" i="2"/>
  <c r="H30" i="20"/>
  <c r="G549" i="2"/>
  <c r="X544" i="2"/>
  <c r="Y544" i="2" s="1"/>
  <c r="Z544" i="2" s="1"/>
  <c r="X614" i="2"/>
  <c r="Y614" i="2" s="1"/>
  <c r="Z614" i="2" s="1"/>
  <c r="G535" i="2"/>
  <c r="X474" i="2"/>
  <c r="Y474" i="2" s="1"/>
  <c r="Z474" i="2" s="1"/>
  <c r="X935" i="2"/>
  <c r="Y935" i="2" s="1"/>
  <c r="Z935" i="2" s="1"/>
  <c r="X37" i="2"/>
  <c r="Y37" i="2" s="1"/>
  <c r="Z37" i="2" s="1"/>
  <c r="X870" i="2"/>
  <c r="Y870" i="2" s="1"/>
  <c r="Z870" i="2" s="1"/>
  <c r="X906" i="2"/>
  <c r="Y906" i="2" s="1"/>
  <c r="Z906" i="2" s="1"/>
  <c r="I29" i="14"/>
  <c r="G491" i="2"/>
  <c r="W908" i="2"/>
  <c r="W45" i="2" s="1"/>
  <c r="W911" i="2"/>
  <c r="H30" i="27"/>
  <c r="K44" i="27"/>
  <c r="L44" i="27" s="1"/>
  <c r="P320" i="2"/>
  <c r="J434" i="2"/>
  <c r="H30" i="14"/>
  <c r="I14" i="32"/>
  <c r="L206" i="2"/>
  <c r="K434" i="2"/>
  <c r="X606" i="2"/>
  <c r="Y606" i="2" s="1"/>
  <c r="Z606" i="2" s="1"/>
  <c r="W922" i="2"/>
  <c r="W160" i="2" s="1"/>
  <c r="W925"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W180" i="2" l="1"/>
  <c r="W123" i="2"/>
  <c r="W294" i="2"/>
  <c r="W300" i="2" s="1"/>
  <c r="W345" i="2" s="1"/>
  <c r="X872" i="2"/>
  <c r="Y872" i="2" s="1"/>
  <c r="Z872"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1" i="2" s="1"/>
  <c r="M682" i="2" s="1"/>
  <c r="U8" i="2"/>
  <c r="U14" i="2" s="1"/>
  <c r="K226" i="2"/>
  <c r="N226" i="2"/>
  <c r="J28" i="21" s="1"/>
  <c r="R226" i="2"/>
  <c r="R123" i="2"/>
  <c r="R129" i="2" s="1"/>
  <c r="R174" i="2" s="1"/>
  <c r="R959" i="2" s="1"/>
  <c r="R784" i="2" s="1"/>
  <c r="R799"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1" i="2" s="1"/>
  <c r="O682" i="2" s="1"/>
  <c r="R8" i="2"/>
  <c r="R961" i="2" s="1"/>
  <c r="R738" i="2" s="1"/>
  <c r="J8" i="2"/>
  <c r="J961" i="2" s="1"/>
  <c r="J682"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1" i="2" s="1"/>
  <c r="L682" i="2" s="1"/>
  <c r="T8" i="2"/>
  <c r="T961" i="2" s="1"/>
  <c r="T738" i="2" s="1"/>
  <c r="P226" i="2"/>
  <c r="V226" i="2"/>
  <c r="Q226" i="2"/>
  <c r="M226" i="2"/>
  <c r="J226" i="2"/>
  <c r="Q180" i="2"/>
  <c r="Q186" i="2" s="1"/>
  <c r="U294" i="2"/>
  <c r="U300" i="2" s="1"/>
  <c r="M103" i="2"/>
  <c r="S217" i="2"/>
  <c r="U408" i="2"/>
  <c r="U414" i="2" s="1"/>
  <c r="K331" i="2"/>
  <c r="I29" i="17" s="1"/>
  <c r="R103" i="2"/>
  <c r="O66" i="2"/>
  <c r="O72" i="2" s="1"/>
  <c r="O117" i="2" s="1"/>
  <c r="P103" i="2"/>
  <c r="S294" i="2"/>
  <c r="S300" i="2" s="1"/>
  <c r="O160" i="2"/>
  <c r="I14" i="25" s="1"/>
  <c r="H35" i="25" s="1"/>
  <c r="Q8" i="2"/>
  <c r="Q961" i="2" s="1"/>
  <c r="Q682" i="2" s="1"/>
  <c r="V8" i="2"/>
  <c r="V14" i="2" s="1"/>
  <c r="Q45" i="2"/>
  <c r="M45" i="2"/>
  <c r="J45" i="2"/>
  <c r="J886" i="2"/>
  <c r="X886" i="2" s="1"/>
  <c r="Y886" i="2" s="1"/>
  <c r="Z886"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1" i="2"/>
  <c r="Y951" i="2" s="1"/>
  <c r="Z951" i="2" s="1"/>
  <c r="W445" i="2"/>
  <c r="W947" i="2"/>
  <c r="O357" i="2"/>
  <c r="O402" i="2" s="1"/>
  <c r="O676" i="2" s="1"/>
  <c r="S357" i="2"/>
  <c r="S402" i="2" s="1"/>
  <c r="O591" i="2"/>
  <c r="O636" i="2" s="1"/>
  <c r="O767" i="2" s="1"/>
  <c r="W357" i="2"/>
  <c r="W402" i="2" s="1"/>
  <c r="W676" i="2" s="1"/>
  <c r="L591" i="2"/>
  <c r="L636" i="2" s="1"/>
  <c r="L767" i="2" s="1"/>
  <c r="W529" i="2"/>
  <c r="W574" i="2" s="1"/>
  <c r="W679" i="2" s="1"/>
  <c r="W735" i="2" s="1"/>
  <c r="O186" i="2"/>
  <c r="Q129" i="2"/>
  <c r="J28" i="27"/>
  <c r="K28" i="27" s="1"/>
  <c r="G30" i="19"/>
  <c r="P243" i="2"/>
  <c r="P288" i="2" s="1"/>
  <c r="J28" i="17"/>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R14" i="2"/>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7" i="2" s="1"/>
  <c r="K14" i="27"/>
  <c r="X535" i="2"/>
  <c r="Y535" i="2" s="1"/>
  <c r="Z535" i="2" s="1"/>
  <c r="W717" i="2"/>
  <c r="W725" i="2" s="1"/>
  <c r="C46" i="33" s="1"/>
  <c r="R591" i="2"/>
  <c r="R636" i="2" s="1"/>
  <c r="R767" i="2" s="1"/>
  <c r="X611" i="2"/>
  <c r="Y611" i="2" s="1"/>
  <c r="Z611" i="2" s="1"/>
  <c r="I35" i="19"/>
  <c r="S591" i="2"/>
  <c r="S636" i="2" s="1"/>
  <c r="S767" i="2" s="1"/>
  <c r="X477" i="2"/>
  <c r="Y477" i="2" s="1"/>
  <c r="Z477" i="2" s="1"/>
  <c r="X249" i="2"/>
  <c r="Y249" i="2" s="1"/>
  <c r="Z249" i="2" s="1"/>
  <c r="G30" i="27"/>
  <c r="W129" i="2"/>
  <c r="W174" i="2" s="1"/>
  <c r="W688" i="2" s="1"/>
  <c r="W752" i="2" s="1"/>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2" i="2"/>
  <c r="Y942" i="2" s="1"/>
  <c r="Z942"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69" i="2" s="1"/>
  <c r="I186" i="2"/>
  <c r="X885" i="2"/>
  <c r="Y885" i="2" s="1"/>
  <c r="Z885" i="2" s="1"/>
  <c r="X597" i="2"/>
  <c r="Y597" i="2" s="1"/>
  <c r="Z597" i="2" s="1"/>
  <c r="X34" i="2"/>
  <c r="Y34" i="2" s="1"/>
  <c r="Z34" i="2" s="1"/>
  <c r="X20" i="2"/>
  <c r="Y20" i="2" s="1"/>
  <c r="Z20" i="2" s="1"/>
  <c r="X936" i="2"/>
  <c r="Y936" i="2" s="1"/>
  <c r="Z936"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7" i="2" s="1"/>
  <c r="P529" i="2"/>
  <c r="F30" i="26" s="1"/>
  <c r="I35" i="21"/>
  <c r="X192" i="2"/>
  <c r="Y192" i="2" s="1"/>
  <c r="Z192" i="2" s="1"/>
  <c r="K129" i="2"/>
  <c r="K174" i="2" s="1"/>
  <c r="K959" i="2" s="1"/>
  <c r="K784" i="2" s="1"/>
  <c r="K799"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K29" i="20" s="1"/>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2" i="2"/>
  <c r="G160" i="2" s="1"/>
  <c r="I14" i="14" s="1"/>
  <c r="H35" i="14" s="1"/>
  <c r="X921" i="2"/>
  <c r="Y921" i="2" s="1"/>
  <c r="Z921"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S753" i="2" s="1"/>
  <c r="X223" i="2"/>
  <c r="Y223" i="2" s="1"/>
  <c r="Z223" i="2" s="1"/>
  <c r="X70" i="2"/>
  <c r="Y70" i="2" s="1"/>
  <c r="Z70" i="2" s="1"/>
  <c r="X451" i="2"/>
  <c r="Y451" i="2" s="1"/>
  <c r="Z451" i="2" s="1"/>
  <c r="T471" i="2"/>
  <c r="T516" i="2" s="1"/>
  <c r="T591" i="2"/>
  <c r="T636" i="2" s="1"/>
  <c r="T767"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682" i="2"/>
  <c r="K738" i="2"/>
  <c r="D31" i="17" s="1"/>
  <c r="E31" i="17" s="1"/>
  <c r="K31" i="17" s="1"/>
  <c r="L31" i="17" s="1"/>
  <c r="S682" i="2"/>
  <c r="S738" i="2"/>
  <c r="I35" i="32"/>
  <c r="K43" i="25"/>
  <c r="L43" i="25" s="1"/>
  <c r="X286" i="2"/>
  <c r="Y286" i="2" s="1"/>
  <c r="Z286" i="2" s="1"/>
  <c r="X470" i="2"/>
  <c r="Y470" i="2" s="1"/>
  <c r="Z470" i="2" s="1"/>
  <c r="X184" i="2"/>
  <c r="Y184" i="2" s="1"/>
  <c r="Z184" i="2" s="1"/>
  <c r="G186" i="2"/>
  <c r="F14" i="14"/>
  <c r="X126" i="2"/>
  <c r="Y126" i="2" s="1"/>
  <c r="Z126" i="2" s="1"/>
  <c r="X343" i="2"/>
  <c r="Y343" i="2" s="1"/>
  <c r="Z343" i="2" s="1"/>
  <c r="X943" i="2"/>
  <c r="Y943" i="2" s="1"/>
  <c r="Z943"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8" i="2"/>
  <c r="Y878" i="2" s="1"/>
  <c r="Z878" i="2" s="1"/>
  <c r="G879" i="2"/>
  <c r="K43" i="19"/>
  <c r="L43" i="19" s="1"/>
  <c r="X899" i="2"/>
  <c r="Y899" i="2" s="1"/>
  <c r="Z899" i="2" s="1"/>
  <c r="G900"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682" i="2"/>
  <c r="I738" i="2"/>
  <c r="D31" i="27" s="1"/>
  <c r="E31" i="27" s="1"/>
  <c r="K31" i="27" s="1"/>
  <c r="L31" i="27" s="1"/>
  <c r="X865" i="2"/>
  <c r="Y865" i="2" s="1"/>
  <c r="Z865" i="2" s="1"/>
  <c r="G8" i="2"/>
  <c r="K14" i="21"/>
  <c r="X69" i="2"/>
  <c r="Y69" i="2" s="1"/>
  <c r="Z69" i="2" s="1"/>
  <c r="H35" i="32"/>
  <c r="S243" i="2"/>
  <c r="S288" i="2" s="1"/>
  <c r="U357" i="2"/>
  <c r="U402" i="2" s="1"/>
  <c r="V471" i="2"/>
  <c r="V516" i="2" s="1"/>
  <c r="X411" i="2"/>
  <c r="Y411" i="2" s="1"/>
  <c r="Z411" i="2" s="1"/>
  <c r="I414" i="2"/>
  <c r="X356" i="2"/>
  <c r="Y356" i="2" s="1"/>
  <c r="Z356" i="2" s="1"/>
  <c r="I35" i="27"/>
  <c r="N682" i="2"/>
  <c r="N738" i="2"/>
  <c r="D31" i="21" s="1"/>
  <c r="E31" i="21" s="1"/>
  <c r="K31" i="21" s="1"/>
  <c r="L31" i="21" s="1"/>
  <c r="X628" i="2"/>
  <c r="Y628" i="2" s="1"/>
  <c r="Z628" i="2" s="1"/>
  <c r="X337" i="2"/>
  <c r="Y337" i="2" s="1"/>
  <c r="Z337" i="2" s="1"/>
  <c r="X569" i="2"/>
  <c r="Y569" i="2" s="1"/>
  <c r="Z569" i="2" s="1"/>
  <c r="X320" i="2"/>
  <c r="Y320" i="2" s="1"/>
  <c r="Z320" i="2" s="1"/>
  <c r="X277" i="2"/>
  <c r="Y277" i="2" s="1"/>
  <c r="Z277" i="2" s="1"/>
  <c r="X908" i="2"/>
  <c r="Y908" i="2" s="1"/>
  <c r="Z908"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W186" i="2"/>
  <c r="X915" i="2"/>
  <c r="Y915" i="2" s="1"/>
  <c r="Z915" i="2" s="1"/>
  <c r="G103" i="2"/>
  <c r="G591" i="2"/>
  <c r="K14" i="32"/>
  <c r="J28" i="14"/>
  <c r="P357" i="2"/>
  <c r="P402" i="2" s="1"/>
  <c r="M243" i="2"/>
  <c r="M288" i="2" s="1"/>
  <c r="N72" i="2"/>
  <c r="N117" i="2" s="1"/>
  <c r="I529" i="2"/>
  <c r="X241" i="2"/>
  <c r="Y241" i="2" s="1"/>
  <c r="Z241" i="2" s="1"/>
  <c r="K72" i="2"/>
  <c r="K117" i="2" s="1"/>
  <c r="P682" i="2"/>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2" i="2"/>
  <c r="Y892" i="2" s="1"/>
  <c r="Z892" i="2" s="1"/>
  <c r="G893"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29" i="2"/>
  <c r="Y929" i="2" s="1"/>
  <c r="Z929" i="2" s="1"/>
  <c r="I300" i="2"/>
  <c r="K43" i="26"/>
  <c r="L43" i="26" s="1"/>
  <c r="K43" i="32"/>
  <c r="L43" i="32" s="1"/>
  <c r="G357" i="2"/>
  <c r="M14" i="2" l="1"/>
  <c r="K28" i="25"/>
  <c r="J738" i="2"/>
  <c r="D31" i="32" s="1"/>
  <c r="E31" i="32" s="1"/>
  <c r="K31" i="32" s="1"/>
  <c r="L31" i="32" s="1"/>
  <c r="L738" i="2"/>
  <c r="D31" i="19" s="1"/>
  <c r="E31" i="19" s="1"/>
  <c r="K31" i="19" s="1"/>
  <c r="L31" i="19" s="1"/>
  <c r="Q738" i="2"/>
  <c r="R682" i="2"/>
  <c r="K28" i="21"/>
  <c r="T682" i="2"/>
  <c r="P186" i="2"/>
  <c r="P231" i="2" s="1"/>
  <c r="P965" i="2" s="1"/>
  <c r="P755" i="2" s="1"/>
  <c r="O738" i="2"/>
  <c r="D31" i="25" s="1"/>
  <c r="E31" i="25" s="1"/>
  <c r="K31" i="25" s="1"/>
  <c r="L31" i="25" s="1"/>
  <c r="S174" i="2"/>
  <c r="S959" i="2" s="1"/>
  <c r="S784" i="2" s="1"/>
  <c r="S799" i="2" s="1"/>
  <c r="V117" i="2"/>
  <c r="V717" i="2"/>
  <c r="V725" i="2" s="1"/>
  <c r="C45" i="33" s="1"/>
  <c r="V174" i="2"/>
  <c r="V688" i="2" s="1"/>
  <c r="F21" i="33" s="1"/>
  <c r="P129" i="2"/>
  <c r="P174" i="2" s="1"/>
  <c r="P959" i="2" s="1"/>
  <c r="P784" i="2" s="1"/>
  <c r="P799" i="2" s="1"/>
  <c r="J14" i="2"/>
  <c r="J59" i="2" s="1"/>
  <c r="R59" i="2"/>
  <c r="M738" i="2"/>
  <c r="D31" i="20" s="1"/>
  <c r="E31" i="20" s="1"/>
  <c r="K31" i="20" s="1"/>
  <c r="L31" i="20" s="1"/>
  <c r="U459" i="2"/>
  <c r="U677" i="2" s="1"/>
  <c r="U733" i="2" s="1"/>
  <c r="P117" i="2"/>
  <c r="Q174" i="2"/>
  <c r="Q959" i="2" s="1"/>
  <c r="Q784" i="2" s="1"/>
  <c r="Q799"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U753" i="2"/>
  <c r="X217" i="2"/>
  <c r="Y217" i="2" s="1"/>
  <c r="Z217" i="2" s="1"/>
  <c r="T14" i="2"/>
  <c r="T753" i="2" s="1"/>
  <c r="L231" i="2"/>
  <c r="L965" i="2" s="1"/>
  <c r="X103" i="2"/>
  <c r="Y103" i="2" s="1"/>
  <c r="Z103" i="2" s="1"/>
  <c r="X45" i="2"/>
  <c r="Y45" i="2" s="1"/>
  <c r="Z45" i="2" s="1"/>
  <c r="M753" i="2"/>
  <c r="Q72" i="2"/>
  <c r="Q117" i="2" s="1"/>
  <c r="M186" i="2"/>
  <c r="M117" i="2"/>
  <c r="O14" i="2"/>
  <c r="P753" i="2" s="1"/>
  <c r="L14" i="2"/>
  <c r="L59" i="2" s="1"/>
  <c r="K59" i="2"/>
  <c r="M129" i="2"/>
  <c r="M174" i="2" s="1"/>
  <c r="M688" i="2" s="1"/>
  <c r="F12" i="33" s="1"/>
  <c r="U738" i="2"/>
  <c r="U682" i="2"/>
  <c r="N753" i="2"/>
  <c r="W754" i="2"/>
  <c r="W753" i="2"/>
  <c r="J180" i="2"/>
  <c r="K180" i="2"/>
  <c r="X226" i="2"/>
  <c r="Y226" i="2" s="1"/>
  <c r="Z226" i="2" s="1"/>
  <c r="J28" i="19"/>
  <c r="K28" i="19" s="1"/>
  <c r="R797" i="2"/>
  <c r="R796" i="2"/>
  <c r="K796" i="2"/>
  <c r="K797" i="2"/>
  <c r="W231" i="2"/>
  <c r="W674" i="2" s="1"/>
  <c r="V231" i="2"/>
  <c r="V674" i="2" s="1"/>
  <c r="S231" i="2"/>
  <c r="S965" i="2" s="1"/>
  <c r="U231" i="2"/>
  <c r="U730" i="2" s="1"/>
  <c r="R231" i="2"/>
  <c r="R730" i="2" s="1"/>
  <c r="Q231" i="2"/>
  <c r="Q674" i="2" s="1"/>
  <c r="N231" i="2"/>
  <c r="N730" i="2" s="1"/>
  <c r="O231" i="2"/>
  <c r="O965" i="2" s="1"/>
  <c r="T231" i="2"/>
  <c r="T674" i="2" s="1"/>
  <c r="I231" i="2"/>
  <c r="I674" i="2" s="1"/>
  <c r="W459" i="2"/>
  <c r="W677" i="2" s="1"/>
  <c r="W733" i="2" s="1"/>
  <c r="W59" i="2"/>
  <c r="W780" i="2"/>
  <c r="W788" i="2" s="1"/>
  <c r="C72" i="33" s="1"/>
  <c r="R657" i="2"/>
  <c r="R669" i="2" s="1"/>
  <c r="R753" i="2"/>
  <c r="O345" i="2"/>
  <c r="K35" i="26"/>
  <c r="L35" i="26" s="1"/>
  <c r="O574" i="2"/>
  <c r="O679" i="2" s="1"/>
  <c r="O735" i="2" s="1"/>
  <c r="L574" i="2"/>
  <c r="L679" i="2" s="1"/>
  <c r="L735" i="2" s="1"/>
  <c r="P345" i="2"/>
  <c r="E30" i="32"/>
  <c r="K30" i="32" s="1"/>
  <c r="I35" i="14"/>
  <c r="K35" i="14" s="1"/>
  <c r="L35" i="14" s="1"/>
  <c r="N574" i="2"/>
  <c r="N679" i="2" s="1"/>
  <c r="N735" i="2" s="1"/>
  <c r="N959" i="2"/>
  <c r="N784" i="2" s="1"/>
  <c r="J574" i="2"/>
  <c r="J679" i="2" s="1"/>
  <c r="J735" i="2" s="1"/>
  <c r="M767" i="2"/>
  <c r="X658" i="2"/>
  <c r="Y658" i="2" s="1"/>
  <c r="Z658" i="2" s="1"/>
  <c r="K35" i="19"/>
  <c r="L35" i="19" s="1"/>
  <c r="L676" i="2"/>
  <c r="K35" i="17"/>
  <c r="L35" i="17" s="1"/>
  <c r="L345" i="2"/>
  <c r="E30" i="19"/>
  <c r="K30" i="19" s="1"/>
  <c r="K35" i="21"/>
  <c r="L35" i="21" s="1"/>
  <c r="Q676" i="2"/>
  <c r="J402" i="2"/>
  <c r="J732" i="2" s="1"/>
  <c r="W763" i="2"/>
  <c r="E30" i="25"/>
  <c r="K30" i="25" s="1"/>
  <c r="O732" i="2"/>
  <c r="R688" i="2"/>
  <c r="U59" i="2"/>
  <c r="Q767" i="2"/>
  <c r="T959" i="2"/>
  <c r="L959" i="2"/>
  <c r="L784" i="2" s="1"/>
  <c r="D14" i="19"/>
  <c r="L14" i="19" s="1"/>
  <c r="L688" i="2"/>
  <c r="F30" i="14"/>
  <c r="E30" i="21"/>
  <c r="K30" i="21" s="1"/>
  <c r="N678" i="2"/>
  <c r="N734" i="2"/>
  <c r="D30" i="21" s="1"/>
  <c r="W731" i="2"/>
  <c r="S708" i="2"/>
  <c r="M59" i="2"/>
  <c r="W678" i="2"/>
  <c r="N345" i="2"/>
  <c r="M345" i="2"/>
  <c r="K732" i="2"/>
  <c r="O678" i="2"/>
  <c r="I734" i="2"/>
  <c r="N676" i="2"/>
  <c r="R732" i="2"/>
  <c r="I753" i="2"/>
  <c r="W767" i="2"/>
  <c r="V708" i="2"/>
  <c r="V769" i="2" s="1"/>
  <c r="D14" i="21"/>
  <c r="I15" i="21" s="1"/>
  <c r="I16" i="21" s="1"/>
  <c r="N708" i="2"/>
  <c r="N769" i="2" s="1"/>
  <c r="K345" i="2"/>
  <c r="K731" i="2" s="1"/>
  <c r="D29" i="17" s="1"/>
  <c r="P574" i="2"/>
  <c r="P679" i="2" s="1"/>
  <c r="P735" i="2" s="1"/>
  <c r="T732" i="2"/>
  <c r="P767" i="2"/>
  <c r="K753" i="2"/>
  <c r="R708" i="2"/>
  <c r="R769" i="2" s="1"/>
  <c r="M676" i="2"/>
  <c r="M732" i="2"/>
  <c r="L678" i="2"/>
  <c r="W675" i="2"/>
  <c r="S59" i="2"/>
  <c r="K688" i="2"/>
  <c r="F30" i="17"/>
  <c r="D14" i="17"/>
  <c r="L14" i="17" s="1"/>
  <c r="T731" i="2"/>
  <c r="V676" i="2"/>
  <c r="D30" i="19"/>
  <c r="K678" i="2"/>
  <c r="K734" i="2"/>
  <c r="D30" i="17" s="1"/>
  <c r="X922" i="2"/>
  <c r="Y922" i="2" s="1"/>
  <c r="Z922" i="2" s="1"/>
  <c r="R754" i="2"/>
  <c r="U734" i="2"/>
  <c r="K28" i="14"/>
  <c r="W732" i="2"/>
  <c r="H15" i="32"/>
  <c r="H16" i="32" s="1"/>
  <c r="I15" i="32"/>
  <c r="I16" i="32" s="1"/>
  <c r="R675" i="2"/>
  <c r="N59" i="2"/>
  <c r="L708" i="2"/>
  <c r="L769" i="2" s="1"/>
  <c r="J688" i="2"/>
  <c r="R678" i="2"/>
  <c r="J959" i="2"/>
  <c r="J784" i="2" s="1"/>
  <c r="U767" i="2"/>
  <c r="S678" i="2"/>
  <c r="E30" i="17"/>
  <c r="K767" i="2"/>
  <c r="K708" i="2"/>
  <c r="Q675" i="2"/>
  <c r="J345" i="2"/>
  <c r="Q731" i="2"/>
  <c r="O708" i="2"/>
  <c r="D22" i="25" s="1"/>
  <c r="T708" i="2"/>
  <c r="T769" i="2" s="1"/>
  <c r="X243" i="2"/>
  <c r="Y243" i="2" s="1"/>
  <c r="Z243" i="2" s="1"/>
  <c r="E30" i="26"/>
  <c r="K30" i="26" s="1"/>
  <c r="X160" i="2"/>
  <c r="Y160" i="2" s="1"/>
  <c r="Z160" i="2" s="1"/>
  <c r="S574" i="2"/>
  <c r="S679" i="2" s="1"/>
  <c r="S735" i="2" s="1"/>
  <c r="S459" i="2"/>
  <c r="S677" i="2" s="1"/>
  <c r="S733" i="2" s="1"/>
  <c r="X288" i="2"/>
  <c r="Y288" i="2" s="1"/>
  <c r="Z288" i="2" s="1"/>
  <c r="S345" i="2"/>
  <c r="T754" i="2" s="1"/>
  <c r="G117" i="2"/>
  <c r="K35" i="27"/>
  <c r="L35" i="27" s="1"/>
  <c r="X893" i="2"/>
  <c r="Y893" i="2" s="1"/>
  <c r="Z893" i="2" s="1"/>
  <c r="G294" i="2"/>
  <c r="I345" i="2"/>
  <c r="E29" i="27"/>
  <c r="L14" i="32"/>
  <c r="V734" i="2"/>
  <c r="V678" i="2"/>
  <c r="J767" i="2"/>
  <c r="J708" i="2"/>
  <c r="K29" i="25"/>
  <c r="I959" i="2"/>
  <c r="I784"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7" i="2"/>
  <c r="I708" i="2"/>
  <c r="T734" i="2"/>
  <c r="T678" i="2"/>
  <c r="D22" i="20"/>
  <c r="K35" i="32"/>
  <c r="L35" i="32" s="1"/>
  <c r="X8" i="2"/>
  <c r="Y8" i="2" s="1"/>
  <c r="Z8" i="2" s="1"/>
  <c r="G961" i="2"/>
  <c r="G14" i="2"/>
  <c r="K43" i="14"/>
  <c r="L43" i="14" s="1"/>
  <c r="F30" i="20"/>
  <c r="M574" i="2"/>
  <c r="M679" i="2" s="1"/>
  <c r="M735" i="2" s="1"/>
  <c r="X529" i="2"/>
  <c r="Y529" i="2" s="1"/>
  <c r="Z529" i="2" s="1"/>
  <c r="K29" i="17"/>
  <c r="T752" i="2"/>
  <c r="J734" i="2"/>
  <c r="D30" i="32" s="1"/>
  <c r="J678" i="2"/>
  <c r="G734" i="2"/>
  <c r="G678" i="2"/>
  <c r="Q734" i="2"/>
  <c r="Q678" i="2"/>
  <c r="G408" i="2"/>
  <c r="X900" i="2"/>
  <c r="Y900" i="2" s="1"/>
  <c r="Z900" i="2" s="1"/>
  <c r="X879" i="2"/>
  <c r="Y879" i="2" s="1"/>
  <c r="Z879" i="2" s="1"/>
  <c r="G123" i="2"/>
  <c r="I732" i="2"/>
  <c r="I676" i="2"/>
  <c r="U752" i="2"/>
  <c r="D22" i="26"/>
  <c r="X471" i="2"/>
  <c r="Y471" i="2" s="1"/>
  <c r="Z471" i="2" s="1"/>
  <c r="I459" i="2"/>
  <c r="I677" i="2" s="1"/>
  <c r="I733" i="2" s="1"/>
  <c r="E30" i="27"/>
  <c r="V753" i="2"/>
  <c r="V59" i="2"/>
  <c r="U345" i="2"/>
  <c r="U676" i="2"/>
  <c r="U732" i="2"/>
  <c r="P734" i="2"/>
  <c r="D30" i="26" s="1"/>
  <c r="P678" i="2"/>
  <c r="X445" i="2"/>
  <c r="Y445" i="2" s="1"/>
  <c r="Z445" i="2" s="1"/>
  <c r="I30" i="14"/>
  <c r="S730" i="2"/>
  <c r="G231" i="2"/>
  <c r="N752" i="2"/>
  <c r="O753" i="2" l="1"/>
  <c r="L674" i="2"/>
  <c r="Q688" i="2"/>
  <c r="F16" i="33" s="1"/>
  <c r="V780" i="2"/>
  <c r="V788" i="2" s="1"/>
  <c r="C71" i="33" s="1"/>
  <c r="V763" i="2"/>
  <c r="L730" i="2"/>
  <c r="Q657" i="2"/>
  <c r="Q669" i="2" s="1"/>
  <c r="C16" i="33" s="1"/>
  <c r="V752" i="2"/>
  <c r="V730" i="2"/>
  <c r="S657" i="2"/>
  <c r="S669" i="2" s="1"/>
  <c r="C18" i="33" s="1"/>
  <c r="S688" i="2"/>
  <c r="F18" i="33" s="1"/>
  <c r="W730" i="2"/>
  <c r="P688" i="2"/>
  <c r="F15" i="33" s="1"/>
  <c r="S797" i="2"/>
  <c r="S796" i="2"/>
  <c r="S674" i="2"/>
  <c r="D14" i="26"/>
  <c r="L14" i="26" s="1"/>
  <c r="Q753" i="2"/>
  <c r="P797" i="2"/>
  <c r="P796" i="2"/>
  <c r="P674" i="2"/>
  <c r="Q797" i="2"/>
  <c r="P730" i="2"/>
  <c r="D28" i="26" s="1"/>
  <c r="O730" i="2"/>
  <c r="D28" i="25" s="1"/>
  <c r="T59" i="2"/>
  <c r="V731" i="2"/>
  <c r="O674" i="2"/>
  <c r="O59" i="2"/>
  <c r="V754" i="2"/>
  <c r="J753" i="2"/>
  <c r="V965" i="2"/>
  <c r="V755" i="2" s="1"/>
  <c r="Q796" i="2"/>
  <c r="O688" i="2"/>
  <c r="D14" i="25"/>
  <c r="F15" i="25" s="1"/>
  <c r="F16" i="25" s="1"/>
  <c r="L753" i="2"/>
  <c r="I730" i="2"/>
  <c r="D28" i="27" s="1"/>
  <c r="T706" i="2"/>
  <c r="M231" i="2"/>
  <c r="I965" i="2"/>
  <c r="I755" i="2" s="1"/>
  <c r="N674" i="2"/>
  <c r="N965" i="2"/>
  <c r="N755" i="2" s="1"/>
  <c r="X72" i="2"/>
  <c r="Y72" i="2" s="1"/>
  <c r="Z72" i="2" s="1"/>
  <c r="M959" i="2"/>
  <c r="M784" i="2" s="1"/>
  <c r="M797" i="2" s="1"/>
  <c r="M752" i="2"/>
  <c r="X117" i="2"/>
  <c r="Y117" i="2" s="1"/>
  <c r="Z117" i="2" s="1"/>
  <c r="J754" i="2"/>
  <c r="T965" i="2"/>
  <c r="T755" i="2" s="1"/>
  <c r="T756" i="2" s="1"/>
  <c r="M754" i="2"/>
  <c r="P754" i="2"/>
  <c r="M769" i="2"/>
  <c r="U965" i="2"/>
  <c r="T730" i="2"/>
  <c r="U674" i="2"/>
  <c r="O959" i="2"/>
  <c r="O784" i="2" s="1"/>
  <c r="O799" i="2" s="1"/>
  <c r="D14" i="20"/>
  <c r="L14" i="20" s="1"/>
  <c r="K657" i="2"/>
  <c r="K669" i="2" s="1"/>
  <c r="C10" i="33" s="1"/>
  <c r="O755" i="2"/>
  <c r="U769" i="2"/>
  <c r="E28" i="32"/>
  <c r="K28" i="32" s="1"/>
  <c r="J186" i="2"/>
  <c r="X180" i="2"/>
  <c r="Y180" i="2" s="1"/>
  <c r="Z180" i="2" s="1"/>
  <c r="W769" i="2"/>
  <c r="P769" i="2"/>
  <c r="K769" i="2"/>
  <c r="W755" i="2"/>
  <c r="W756" i="2" s="1"/>
  <c r="F46" i="33" s="1"/>
  <c r="O754" i="2"/>
  <c r="Q730" i="2"/>
  <c r="S769" i="2"/>
  <c r="T784" i="2"/>
  <c r="T799" i="2" s="1"/>
  <c r="U657" i="2"/>
  <c r="U669" i="2" s="1"/>
  <c r="L754" i="2"/>
  <c r="Q754" i="2"/>
  <c r="E28" i="17"/>
  <c r="K28" i="17" s="1"/>
  <c r="K186" i="2"/>
  <c r="D36" i="17"/>
  <c r="D39" i="17" s="1"/>
  <c r="J796" i="2"/>
  <c r="J797" i="2"/>
  <c r="J799" i="2"/>
  <c r="L796" i="2"/>
  <c r="L797" i="2"/>
  <c r="L799" i="2"/>
  <c r="I797" i="2"/>
  <c r="I796" i="2"/>
  <c r="I799" i="2"/>
  <c r="N796" i="2"/>
  <c r="N797" i="2"/>
  <c r="N799" i="2"/>
  <c r="Q965" i="2"/>
  <c r="Q755" i="2" s="1"/>
  <c r="R965" i="2"/>
  <c r="R755" i="2" s="1"/>
  <c r="L675" i="2"/>
  <c r="L706" i="2" s="1"/>
  <c r="R674" i="2"/>
  <c r="R706" i="2" s="1"/>
  <c r="F10" i="33"/>
  <c r="F11" i="33"/>
  <c r="F17" i="33"/>
  <c r="F9" i="33"/>
  <c r="Q752" i="2"/>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69" i="2"/>
  <c r="J15" i="19"/>
  <c r="J16" i="19" s="1"/>
  <c r="R752" i="2"/>
  <c r="L752" i="2"/>
  <c r="D22" i="19"/>
  <c r="E22" i="19" s="1"/>
  <c r="D30" i="27"/>
  <c r="E15" i="19"/>
  <c r="E16" i="19" s="1"/>
  <c r="K675" i="2"/>
  <c r="K754" i="2"/>
  <c r="H15" i="21"/>
  <c r="H16" i="21" s="1"/>
  <c r="L14" i="21"/>
  <c r="J731" i="2"/>
  <c r="D29" i="32" s="1"/>
  <c r="L29" i="32" s="1"/>
  <c r="D22" i="21"/>
  <c r="E22" i="21" s="1"/>
  <c r="N754"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2" i="2"/>
  <c r="J752" i="2"/>
  <c r="V706" i="2"/>
  <c r="V710" i="2" s="1"/>
  <c r="S717" i="2"/>
  <c r="S725" i="2" s="1"/>
  <c r="J675" i="2"/>
  <c r="D22" i="17"/>
  <c r="K30" i="27"/>
  <c r="S675" i="2"/>
  <c r="S754" i="2"/>
  <c r="S731" i="2"/>
  <c r="G129" i="2"/>
  <c r="X123" i="2"/>
  <c r="Y123" i="2" s="1"/>
  <c r="Z123" i="2" s="1"/>
  <c r="E14" i="14"/>
  <c r="W706" i="2"/>
  <c r="W710" i="2" s="1"/>
  <c r="L30" i="32"/>
  <c r="X679" i="2"/>
  <c r="Y679" i="2" s="1"/>
  <c r="Z679" i="2" s="1"/>
  <c r="G735" i="2"/>
  <c r="X735" i="2" s="1"/>
  <c r="Y735" i="2" s="1"/>
  <c r="Z735" i="2" s="1"/>
  <c r="I752" i="2"/>
  <c r="K29" i="27"/>
  <c r="G730" i="2"/>
  <c r="G965" i="2"/>
  <c r="G674" i="2"/>
  <c r="X636" i="2"/>
  <c r="Y636" i="2" s="1"/>
  <c r="Z636" i="2" s="1"/>
  <c r="G767" i="2"/>
  <c r="G708" i="2"/>
  <c r="K15" i="32"/>
  <c r="E16" i="32"/>
  <c r="D16" i="27"/>
  <c r="E15" i="27"/>
  <c r="H15" i="27"/>
  <c r="H16" i="27" s="1"/>
  <c r="G15" i="27"/>
  <c r="G16" i="27" s="1"/>
  <c r="F15" i="27"/>
  <c r="F16" i="27" s="1"/>
  <c r="J15" i="27"/>
  <c r="J16" i="27" s="1"/>
  <c r="L14" i="27"/>
  <c r="I15" i="27"/>
  <c r="I16" i="27" s="1"/>
  <c r="I754" i="2"/>
  <c r="I675" i="2"/>
  <c r="I706" i="2" s="1"/>
  <c r="I731" i="2"/>
  <c r="D29" i="27" s="1"/>
  <c r="U754" i="2"/>
  <c r="U731" i="2"/>
  <c r="U675" i="2"/>
  <c r="X14" i="2"/>
  <c r="Y14" i="2" s="1"/>
  <c r="Z14" i="2" s="1"/>
  <c r="G753" i="2"/>
  <c r="X753" i="2" s="1"/>
  <c r="Y753" i="2" s="1"/>
  <c r="Z753" i="2" s="1"/>
  <c r="G59" i="2"/>
  <c r="I769" i="2"/>
  <c r="D22" i="27"/>
  <c r="F22" i="27" s="1"/>
  <c r="K30" i="20"/>
  <c r="L30" i="26"/>
  <c r="D28" i="19"/>
  <c r="X294" i="2"/>
  <c r="Y294" i="2" s="1"/>
  <c r="Z294" i="2" s="1"/>
  <c r="G300" i="2"/>
  <c r="X408" i="2"/>
  <c r="Y408" i="2" s="1"/>
  <c r="Z408" i="2" s="1"/>
  <c r="G414" i="2"/>
  <c r="L30" i="21"/>
  <c r="L29" i="17"/>
  <c r="G682" i="2"/>
  <c r="X961" i="2"/>
  <c r="Y961" i="2" s="1"/>
  <c r="Z961" i="2" s="1"/>
  <c r="G738" i="2"/>
  <c r="X402" i="2"/>
  <c r="Y402" i="2" s="1"/>
  <c r="Z402" i="2" s="1"/>
  <c r="G732" i="2"/>
  <c r="G676" i="2"/>
  <c r="D28" i="21"/>
  <c r="X574" i="2"/>
  <c r="Y574" i="2" s="1"/>
  <c r="Z574" i="2" s="1"/>
  <c r="M678" i="2"/>
  <c r="X678" i="2" s="1"/>
  <c r="Y678" i="2" s="1"/>
  <c r="Z678" i="2" s="1"/>
  <c r="M734" i="2"/>
  <c r="D30" i="20" s="1"/>
  <c r="J769" i="2"/>
  <c r="D22" i="32"/>
  <c r="Q717" i="2" l="1"/>
  <c r="Q725" i="2" s="1"/>
  <c r="C40" i="33" s="1"/>
  <c r="Q704" i="2"/>
  <c r="J22" i="25"/>
  <c r="H22" i="26"/>
  <c r="I22" i="26"/>
  <c r="I22" i="25"/>
  <c r="E22" i="25"/>
  <c r="G22" i="25"/>
  <c r="S704" i="2"/>
  <c r="L14" i="25"/>
  <c r="S706" i="2"/>
  <c r="H45" i="33"/>
  <c r="I15" i="25"/>
  <c r="I16" i="25" s="1"/>
  <c r="I15" i="26"/>
  <c r="I16" i="26" s="1"/>
  <c r="F15" i="26"/>
  <c r="F16" i="26" s="1"/>
  <c r="S752" i="2"/>
  <c r="G15" i="25"/>
  <c r="G16" i="25" s="1"/>
  <c r="O657" i="2"/>
  <c r="D46" i="25" s="1"/>
  <c r="J46" i="25" s="1"/>
  <c r="J47" i="25" s="1"/>
  <c r="P752" i="2"/>
  <c r="P756" i="2" s="1"/>
  <c r="H22" i="20"/>
  <c r="P706" i="2"/>
  <c r="G22" i="26"/>
  <c r="X59" i="2"/>
  <c r="Y59" i="2" s="1"/>
  <c r="Z59" i="2" s="1"/>
  <c r="J15" i="26"/>
  <c r="J16" i="26" s="1"/>
  <c r="F22" i="26"/>
  <c r="G15" i="26"/>
  <c r="G16" i="26" s="1"/>
  <c r="D16" i="26"/>
  <c r="E22" i="26"/>
  <c r="J22" i="26"/>
  <c r="E15" i="26"/>
  <c r="E16" i="26" s="1"/>
  <c r="H15" i="26"/>
  <c r="H16" i="26" s="1"/>
  <c r="V756" i="2"/>
  <c r="F45" i="33" s="1"/>
  <c r="D36" i="26"/>
  <c r="D39" i="26" s="1"/>
  <c r="O706" i="2"/>
  <c r="I15" i="20"/>
  <c r="I16" i="20" s="1"/>
  <c r="M799" i="2"/>
  <c r="H22" i="25"/>
  <c r="D16" i="25"/>
  <c r="J15" i="25"/>
  <c r="J16" i="25" s="1"/>
  <c r="J22" i="20"/>
  <c r="M657" i="2"/>
  <c r="M669" i="2" s="1"/>
  <c r="C12" i="33" s="1"/>
  <c r="F22" i="25"/>
  <c r="E15" i="25"/>
  <c r="E16" i="25" s="1"/>
  <c r="H15" i="25"/>
  <c r="H16" i="25" s="1"/>
  <c r="O797" i="2"/>
  <c r="K717" i="2"/>
  <c r="K725" i="2" s="1"/>
  <c r="C34" i="33" s="1"/>
  <c r="T796" i="2"/>
  <c r="K704" i="2"/>
  <c r="F36" i="17"/>
  <c r="F39" i="17" s="1"/>
  <c r="J36" i="17"/>
  <c r="J39" i="17" s="1"/>
  <c r="N706" i="2"/>
  <c r="F14" i="33"/>
  <c r="O752" i="2"/>
  <c r="O756" i="2" s="1"/>
  <c r="M796" i="2"/>
  <c r="D36" i="20" s="1"/>
  <c r="E36" i="20" s="1"/>
  <c r="E39" i="20" s="1"/>
  <c r="G22" i="20"/>
  <c r="I22" i="20"/>
  <c r="E15" i="20"/>
  <c r="E16" i="20" s="1"/>
  <c r="G15" i="20"/>
  <c r="G16" i="20" s="1"/>
  <c r="J15" i="20"/>
  <c r="J16" i="20" s="1"/>
  <c r="E22" i="20"/>
  <c r="D16" i="20"/>
  <c r="H15" i="20"/>
  <c r="H16" i="20" s="1"/>
  <c r="F22" i="20"/>
  <c r="F15" i="20"/>
  <c r="F16" i="20" s="1"/>
  <c r="M730" i="2"/>
  <c r="D28" i="20" s="1"/>
  <c r="L28" i="20" s="1"/>
  <c r="M965" i="2"/>
  <c r="M755" i="2" s="1"/>
  <c r="M756" i="2" s="1"/>
  <c r="F36" i="33" s="1"/>
  <c r="M674" i="2"/>
  <c r="M706" i="2" s="1"/>
  <c r="T797" i="2"/>
  <c r="D46" i="17"/>
  <c r="D47" i="17" s="1"/>
  <c r="N756" i="2"/>
  <c r="F37" i="33" s="1"/>
  <c r="O796" i="2"/>
  <c r="G36" i="17"/>
  <c r="G39" i="17" s="1"/>
  <c r="W805" i="2"/>
  <c r="F72" i="33" s="1"/>
  <c r="P657" i="2"/>
  <c r="I36" i="17"/>
  <c r="I39" i="17" s="1"/>
  <c r="E36" i="17"/>
  <c r="E39" i="17" s="1"/>
  <c r="U755" i="2"/>
  <c r="U756" i="2" s="1"/>
  <c r="S755" i="2"/>
  <c r="K231" i="2"/>
  <c r="X186" i="2"/>
  <c r="Y186" i="2" s="1"/>
  <c r="Z186" i="2" s="1"/>
  <c r="J231" i="2"/>
  <c r="U717" i="2"/>
  <c r="U725" i="2" s="1"/>
  <c r="U704" i="2"/>
  <c r="C20" i="33"/>
  <c r="H36" i="17"/>
  <c r="H39" i="17" s="1"/>
  <c r="D36" i="27"/>
  <c r="I36" i="27" s="1"/>
  <c r="I39" i="27" s="1"/>
  <c r="D36" i="32"/>
  <c r="H36" i="32" s="1"/>
  <c r="H39" i="32" s="1"/>
  <c r="D36" i="21"/>
  <c r="D36" i="19"/>
  <c r="Q756" i="2"/>
  <c r="Q805" i="2" s="1"/>
  <c r="R756" i="2"/>
  <c r="R805" i="2" s="1"/>
  <c r="R710" i="2"/>
  <c r="R763" i="2"/>
  <c r="C41" i="33"/>
  <c r="S780" i="2"/>
  <c r="S788" i="2" s="1"/>
  <c r="C68" i="33" s="1"/>
  <c r="C42" i="33"/>
  <c r="F43" i="33"/>
  <c r="E46" i="21"/>
  <c r="E47" i="21" s="1"/>
  <c r="G46" i="21"/>
  <c r="G47" i="21" s="1"/>
  <c r="I46" i="19"/>
  <c r="I47" i="19" s="1"/>
  <c r="F46" i="19"/>
  <c r="F47" i="19" s="1"/>
  <c r="J46" i="19"/>
  <c r="J47" i="19" s="1"/>
  <c r="R780" i="2"/>
  <c r="R788"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5" i="2"/>
  <c r="H22" i="19"/>
  <c r="I22" i="21"/>
  <c r="F22" i="21"/>
  <c r="K15" i="19"/>
  <c r="L15" i="19" s="1"/>
  <c r="G22" i="19"/>
  <c r="J22" i="19"/>
  <c r="I22" i="19"/>
  <c r="H22" i="21"/>
  <c r="V741" i="2"/>
  <c r="G22" i="21"/>
  <c r="Q710" i="2"/>
  <c r="J22" i="21"/>
  <c r="S763" i="2"/>
  <c r="K15" i="21"/>
  <c r="K15" i="17"/>
  <c r="K16" i="17" s="1"/>
  <c r="L16" i="17" s="1"/>
  <c r="J22" i="17"/>
  <c r="H22" i="17"/>
  <c r="G22" i="17"/>
  <c r="F22" i="17"/>
  <c r="I22" i="17"/>
  <c r="E22" i="17"/>
  <c r="Z782" i="2"/>
  <c r="L28" i="25"/>
  <c r="X732" i="2"/>
  <c r="Y732" i="2" s="1"/>
  <c r="Z732" i="2" s="1"/>
  <c r="I756"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Q763" i="2"/>
  <c r="W736" i="2"/>
  <c r="W742" i="2"/>
  <c r="W680" i="2"/>
  <c r="W684" i="2" s="1"/>
  <c r="W743" i="2"/>
  <c r="W741" i="2"/>
  <c r="X129" i="2"/>
  <c r="Y129" i="2" s="1"/>
  <c r="Z129" i="2" s="1"/>
  <c r="G174" i="2"/>
  <c r="L28" i="27"/>
  <c r="U706" i="2"/>
  <c r="I22" i="27"/>
  <c r="J22" i="27"/>
  <c r="G22" i="27"/>
  <c r="L15" i="32"/>
  <c r="K16" i="32"/>
  <c r="L16" i="32" s="1"/>
  <c r="X708" i="2"/>
  <c r="Y708" i="2" s="1"/>
  <c r="Z708" i="2" s="1"/>
  <c r="G769" i="2"/>
  <c r="X769" i="2" s="1"/>
  <c r="Y769" i="2" s="1"/>
  <c r="Z769" i="2" s="1"/>
  <c r="G755" i="2"/>
  <c r="L29" i="27"/>
  <c r="E29" i="14"/>
  <c r="G345" i="2"/>
  <c r="X300" i="2"/>
  <c r="Y300" i="2" s="1"/>
  <c r="Z300" i="2" s="1"/>
  <c r="K15" i="27"/>
  <c r="E16" i="27"/>
  <c r="X767" i="2"/>
  <c r="Y767" i="2" s="1"/>
  <c r="Z767" i="2" s="1"/>
  <c r="D22" i="14"/>
  <c r="D28" i="14"/>
  <c r="X734" i="2"/>
  <c r="Y734" i="2" s="1"/>
  <c r="Z734" i="2" s="1"/>
  <c r="K14" i="14"/>
  <c r="Q780" i="2" l="1"/>
  <c r="Q788" i="2" s="1"/>
  <c r="C66" i="33" s="1"/>
  <c r="S710" i="2"/>
  <c r="S736" i="2" s="1"/>
  <c r="I46" i="25"/>
  <c r="I47" i="25" s="1"/>
  <c r="D47" i="25"/>
  <c r="V805" i="2"/>
  <c r="F71" i="33" s="1"/>
  <c r="S756" i="2"/>
  <c r="F42" i="33" s="1"/>
  <c r="F36" i="26"/>
  <c r="F39" i="26" s="1"/>
  <c r="M704" i="2"/>
  <c r="M710" i="2" s="1"/>
  <c r="M741" i="2" s="1"/>
  <c r="F39" i="33"/>
  <c r="P805" i="2"/>
  <c r="F65" i="33" s="1"/>
  <c r="K780" i="2"/>
  <c r="K788" i="2" s="1"/>
  <c r="C60" i="33" s="1"/>
  <c r="E46" i="25"/>
  <c r="E47" i="25" s="1"/>
  <c r="G46" i="25"/>
  <c r="G47" i="25" s="1"/>
  <c r="F46" i="25"/>
  <c r="F47" i="25" s="1"/>
  <c r="O669" i="2"/>
  <c r="C14" i="33" s="1"/>
  <c r="H46" i="25"/>
  <c r="H47" i="25" s="1"/>
  <c r="M717" i="2"/>
  <c r="M725" i="2" s="1"/>
  <c r="M763" i="2" s="1"/>
  <c r="D46" i="20"/>
  <c r="D47" i="20" s="1"/>
  <c r="K22" i="25"/>
  <c r="L22" i="25" s="1"/>
  <c r="K763"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5" i="2"/>
  <c r="F64" i="33" s="1"/>
  <c r="H46" i="17"/>
  <c r="H47" i="17" s="1"/>
  <c r="I46" i="17"/>
  <c r="I47" i="17" s="1"/>
  <c r="F46" i="17"/>
  <c r="F47" i="17" s="1"/>
  <c r="U710" i="2"/>
  <c r="V742" i="2" s="1"/>
  <c r="M805" i="2"/>
  <c r="F62" i="33" s="1"/>
  <c r="G46" i="17"/>
  <c r="G47" i="17" s="1"/>
  <c r="K39" i="17"/>
  <c r="L39" i="17" s="1"/>
  <c r="J46" i="17"/>
  <c r="J47" i="17" s="1"/>
  <c r="E46" i="17"/>
  <c r="E47" i="17" s="1"/>
  <c r="F44" i="33"/>
  <c r="U805" i="2"/>
  <c r="F70" i="33" s="1"/>
  <c r="P669" i="2"/>
  <c r="D46" i="26"/>
  <c r="N805" i="2"/>
  <c r="F63" i="33" s="1"/>
  <c r="V736" i="2"/>
  <c r="V743" i="2"/>
  <c r="V680" i="2"/>
  <c r="V684" i="2" s="1"/>
  <c r="D21" i="33" s="1"/>
  <c r="E21" i="33" s="1"/>
  <c r="G21" i="33" s="1"/>
  <c r="R736" i="2"/>
  <c r="J674" i="2"/>
  <c r="J730" i="2"/>
  <c r="J965" i="2"/>
  <c r="X231" i="2"/>
  <c r="Y231" i="2" s="1"/>
  <c r="Z231" i="2" s="1"/>
  <c r="K965" i="2"/>
  <c r="K674" i="2"/>
  <c r="K706" i="2" s="1"/>
  <c r="K710" i="2" s="1"/>
  <c r="K730" i="2"/>
  <c r="D28" i="17" s="1"/>
  <c r="L28" i="17" s="1"/>
  <c r="L763" i="2"/>
  <c r="C35" i="33"/>
  <c r="U780" i="2"/>
  <c r="U788" i="2" s="1"/>
  <c r="C70" i="33" s="1"/>
  <c r="U763"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1" i="2"/>
  <c r="R743" i="2"/>
  <c r="R680" i="2"/>
  <c r="R684" i="2" s="1"/>
  <c r="D17" i="33" s="1"/>
  <c r="E17" i="33" s="1"/>
  <c r="G17" i="33" s="1"/>
  <c r="R742" i="2"/>
  <c r="S680" i="2"/>
  <c r="S684" i="2" s="1"/>
  <c r="D18" i="33" s="1"/>
  <c r="E18" i="33" s="1"/>
  <c r="G18" i="33" s="1"/>
  <c r="F69" i="33"/>
  <c r="C13" i="33"/>
  <c r="F67" i="33"/>
  <c r="J704" i="2"/>
  <c r="C9" i="33"/>
  <c r="C8" i="33"/>
  <c r="F66" i="33"/>
  <c r="L704" i="2"/>
  <c r="L710" i="2" s="1"/>
  <c r="L742" i="2" s="1"/>
  <c r="C11" i="33"/>
  <c r="C67" i="33"/>
  <c r="I704" i="2"/>
  <c r="I710" i="2" s="1"/>
  <c r="I742"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0" i="2"/>
  <c r="L788" i="2" s="1"/>
  <c r="K47" i="21"/>
  <c r="L47" i="21" s="1"/>
  <c r="T704" i="2"/>
  <c r="T710" i="2" s="1"/>
  <c r="T717" i="2"/>
  <c r="T725" i="2" s="1"/>
  <c r="C43" i="33" s="1"/>
  <c r="L15" i="17"/>
  <c r="S741" i="2"/>
  <c r="K16" i="19"/>
  <c r="L16" i="19" s="1"/>
  <c r="S743" i="2"/>
  <c r="S742" i="2"/>
  <c r="K22" i="19"/>
  <c r="L22" i="19" s="1"/>
  <c r="K22" i="21"/>
  <c r="L22" i="21" s="1"/>
  <c r="S805" i="2"/>
  <c r="L15" i="21"/>
  <c r="K16" i="21"/>
  <c r="L16" i="21" s="1"/>
  <c r="K22" i="17"/>
  <c r="L22" i="17" s="1"/>
  <c r="L15" i="27"/>
  <c r="K16" i="27"/>
  <c r="L16" i="27" s="1"/>
  <c r="G731" i="2"/>
  <c r="X345" i="2"/>
  <c r="Y345" i="2" s="1"/>
  <c r="Z345" i="2" s="1"/>
  <c r="G754" i="2"/>
  <c r="X754" i="2" s="1"/>
  <c r="Y754" i="2" s="1"/>
  <c r="Z754" i="2" s="1"/>
  <c r="G675" i="2"/>
  <c r="D14" i="14"/>
  <c r="L14" i="14" s="1"/>
  <c r="G688" i="2"/>
  <c r="F7" i="33" s="1"/>
  <c r="F22" i="33" s="1"/>
  <c r="G959" i="2"/>
  <c r="G784" i="2" s="1"/>
  <c r="X174" i="2"/>
  <c r="Y174" i="2" s="1"/>
  <c r="Z174" i="2" s="1"/>
  <c r="W793" i="2"/>
  <c r="W686" i="2"/>
  <c r="I805" i="2"/>
  <c r="L28" i="14"/>
  <c r="K29" i="14"/>
  <c r="W744" i="2"/>
  <c r="W748" i="2"/>
  <c r="D46" i="33" s="1"/>
  <c r="X459" i="2"/>
  <c r="Y459" i="2" s="1"/>
  <c r="Z459" i="2" s="1"/>
  <c r="G677" i="2"/>
  <c r="K22" i="27"/>
  <c r="L22" i="27" s="1"/>
  <c r="K22" i="32"/>
  <c r="L22" i="32" s="1"/>
  <c r="I36" i="25" l="1"/>
  <c r="I39" i="25" s="1"/>
  <c r="I46" i="20"/>
  <c r="I47" i="20" s="1"/>
  <c r="G36" i="25"/>
  <c r="G39" i="25" s="1"/>
  <c r="U742" i="2"/>
  <c r="C36" i="33"/>
  <c r="O717" i="2"/>
  <c r="O725" i="2" s="1"/>
  <c r="O780" i="2" s="1"/>
  <c r="O788" i="2" s="1"/>
  <c r="C64" i="33" s="1"/>
  <c r="M780" i="2"/>
  <c r="M788" i="2" s="1"/>
  <c r="C62" i="33" s="1"/>
  <c r="V744" i="2"/>
  <c r="V765" i="2" s="1"/>
  <c r="V771"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3" i="2"/>
  <c r="U741" i="2"/>
  <c r="K16" i="25"/>
  <c r="L16" i="25" s="1"/>
  <c r="K16" i="20"/>
  <c r="L16" i="20" s="1"/>
  <c r="K36" i="26"/>
  <c r="L36" i="26" s="1"/>
  <c r="U736" i="2"/>
  <c r="U680" i="2"/>
  <c r="U684" i="2" s="1"/>
  <c r="D20" i="33" s="1"/>
  <c r="E20" i="33" s="1"/>
  <c r="G20" i="33" s="1"/>
  <c r="V686" i="2"/>
  <c r="K46" i="17"/>
  <c r="L46" i="17" s="1"/>
  <c r="K47" i="17"/>
  <c r="L47" i="17" s="1"/>
  <c r="V748" i="2"/>
  <c r="D45" i="33" s="1"/>
  <c r="E45" i="33" s="1"/>
  <c r="G45" i="33" s="1"/>
  <c r="C15" i="33"/>
  <c r="P704" i="2"/>
  <c r="P710" i="2" s="1"/>
  <c r="P717" i="2"/>
  <c r="P725" i="2" s="1"/>
  <c r="O743" i="2"/>
  <c r="D47" i="26"/>
  <c r="I46" i="26"/>
  <c r="I47" i="26" s="1"/>
  <c r="E46" i="26"/>
  <c r="F46" i="26"/>
  <c r="F47" i="26" s="1"/>
  <c r="H46" i="26"/>
  <c r="H47" i="26" s="1"/>
  <c r="G46" i="26"/>
  <c r="G47" i="26" s="1"/>
  <c r="J46" i="26"/>
  <c r="J47" i="26" s="1"/>
  <c r="N742" i="2"/>
  <c r="D28" i="32"/>
  <c r="L28" i="32" s="1"/>
  <c r="X730" i="2"/>
  <c r="Y730" i="2" s="1"/>
  <c r="Z730" i="2" s="1"/>
  <c r="K755" i="2"/>
  <c r="K756" i="2" s="1"/>
  <c r="L755" i="2"/>
  <c r="L756" i="2" s="1"/>
  <c r="X674" i="2"/>
  <c r="Y674" i="2" s="1"/>
  <c r="Z674" i="2" s="1"/>
  <c r="J706" i="2"/>
  <c r="J710" i="2" s="1"/>
  <c r="J743" i="2" s="1"/>
  <c r="M736" i="2"/>
  <c r="J755" i="2"/>
  <c r="X965" i="2"/>
  <c r="Y965" i="2" s="1"/>
  <c r="Z965" i="2" s="1"/>
  <c r="F39" i="20"/>
  <c r="K39" i="20" s="1"/>
  <c r="L39" i="20" s="1"/>
  <c r="K36" i="20"/>
  <c r="L36" i="20" s="1"/>
  <c r="K39" i="32"/>
  <c r="L39" i="32" s="1"/>
  <c r="K36" i="32"/>
  <c r="L36" i="32" s="1"/>
  <c r="G39" i="27"/>
  <c r="K39" i="27" s="1"/>
  <c r="L39" i="27" s="1"/>
  <c r="K36" i="27"/>
  <c r="L36" i="27" s="1"/>
  <c r="X784" i="2"/>
  <c r="Y784" i="2" s="1"/>
  <c r="Z784" i="2" s="1"/>
  <c r="E39" i="21"/>
  <c r="K39" i="21" s="1"/>
  <c r="L39" i="21" s="1"/>
  <c r="K36" i="21"/>
  <c r="L36" i="21" s="1"/>
  <c r="E39" i="19"/>
  <c r="K39" i="19" s="1"/>
  <c r="L39" i="19" s="1"/>
  <c r="K36" i="19"/>
  <c r="L36" i="19" s="1"/>
  <c r="S686" i="2"/>
  <c r="M680" i="2"/>
  <c r="M684" i="2" s="1"/>
  <c r="D12" i="33" s="1"/>
  <c r="E12" i="33" s="1"/>
  <c r="G12" i="33" s="1"/>
  <c r="R748" i="2"/>
  <c r="R750" i="2" s="1"/>
  <c r="R758" i="2" s="1"/>
  <c r="L741" i="2"/>
  <c r="L736" i="2"/>
  <c r="L743" i="2"/>
  <c r="M742" i="2"/>
  <c r="L680" i="2"/>
  <c r="D26" i="19" s="1"/>
  <c r="M743" i="2"/>
  <c r="R686" i="2"/>
  <c r="R744" i="2"/>
  <c r="R765" i="2" s="1"/>
  <c r="R771" i="2" s="1"/>
  <c r="I741" i="2"/>
  <c r="I736" i="2"/>
  <c r="W750" i="2"/>
  <c r="W758" i="2" s="1"/>
  <c r="F68" i="33"/>
  <c r="C61" i="33"/>
  <c r="J763" i="2"/>
  <c r="C33" i="33"/>
  <c r="N780" i="2"/>
  <c r="N788" i="2" s="1"/>
  <c r="C37" i="33"/>
  <c r="F58" i="33"/>
  <c r="E46" i="33"/>
  <c r="G46" i="33" s="1"/>
  <c r="I763" i="2"/>
  <c r="C32" i="33"/>
  <c r="J780" i="2"/>
  <c r="J788" i="2" s="1"/>
  <c r="I743" i="2"/>
  <c r="I680" i="2"/>
  <c r="D26" i="27" s="1"/>
  <c r="I780" i="2"/>
  <c r="I788" i="2" s="1"/>
  <c r="K46" i="27"/>
  <c r="L46" i="27" s="1"/>
  <c r="E47" i="27"/>
  <c r="K47" i="27" s="1"/>
  <c r="L47" i="27" s="1"/>
  <c r="N741" i="2"/>
  <c r="N763" i="2"/>
  <c r="N743" i="2"/>
  <c r="N736" i="2"/>
  <c r="N680" i="2"/>
  <c r="D26" i="21" s="1"/>
  <c r="T763" i="2"/>
  <c r="T780" i="2"/>
  <c r="T788" i="2" s="1"/>
  <c r="T742" i="2"/>
  <c r="T743" i="2"/>
  <c r="T741" i="2"/>
  <c r="T736" i="2"/>
  <c r="T680" i="2"/>
  <c r="T684" i="2" s="1"/>
  <c r="D19" i="33" s="1"/>
  <c r="E19" i="33" s="1"/>
  <c r="G19" i="33" s="1"/>
  <c r="S748" i="2"/>
  <c r="S744" i="2"/>
  <c r="S765" i="2" s="1"/>
  <c r="S771" i="2" s="1"/>
  <c r="X675" i="2"/>
  <c r="Y675" i="2" s="1"/>
  <c r="Z675" i="2" s="1"/>
  <c r="G706" i="2"/>
  <c r="X677" i="2"/>
  <c r="Y677" i="2" s="1"/>
  <c r="Z677" i="2" s="1"/>
  <c r="G733" i="2"/>
  <c r="W801" i="2"/>
  <c r="W765" i="2"/>
  <c r="W771" i="2" s="1"/>
  <c r="X959" i="2"/>
  <c r="Y959" i="2" s="1"/>
  <c r="Z959" i="2" s="1"/>
  <c r="G657" i="2"/>
  <c r="G752"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O742" i="2" l="1"/>
  <c r="C38" i="33"/>
  <c r="O763" i="2"/>
  <c r="U744" i="2"/>
  <c r="U765" i="2" s="1"/>
  <c r="U771" i="2" s="1"/>
  <c r="O680" i="2"/>
  <c r="D26" i="25" s="1"/>
  <c r="O741" i="2"/>
  <c r="K46" i="20"/>
  <c r="L46" i="20" s="1"/>
  <c r="K47" i="20"/>
  <c r="L47" i="20" s="1"/>
  <c r="K36" i="25"/>
  <c r="L36" i="25" s="1"/>
  <c r="K39" i="25"/>
  <c r="L39" i="25" s="1"/>
  <c r="U748" i="2"/>
  <c r="D44" i="33" s="1"/>
  <c r="E44" i="33" s="1"/>
  <c r="G44" i="33" s="1"/>
  <c r="U686" i="2"/>
  <c r="V750" i="2"/>
  <c r="V758" i="2" s="1"/>
  <c r="V793" i="2"/>
  <c r="V801" i="2" s="1"/>
  <c r="D71" i="33" s="1"/>
  <c r="E71" i="33" s="1"/>
  <c r="G71" i="33" s="1"/>
  <c r="X706" i="2"/>
  <c r="Y706" i="2" s="1"/>
  <c r="Z706" i="2" s="1"/>
  <c r="J680" i="2"/>
  <c r="D26" i="32" s="1"/>
  <c r="J741" i="2"/>
  <c r="J736" i="2"/>
  <c r="P743" i="2"/>
  <c r="P736" i="2"/>
  <c r="P741" i="2"/>
  <c r="P680" i="2"/>
  <c r="P742" i="2"/>
  <c r="E47" i="26"/>
  <c r="K47" i="26" s="1"/>
  <c r="L47" i="26" s="1"/>
  <c r="K46" i="26"/>
  <c r="L46" i="26" s="1"/>
  <c r="C39" i="33"/>
  <c r="P763" i="2"/>
  <c r="P780" i="2"/>
  <c r="P788" i="2" s="1"/>
  <c r="C65" i="33" s="1"/>
  <c r="Q742" i="2"/>
  <c r="Q743" i="2"/>
  <c r="Q741" i="2"/>
  <c r="Q680" i="2"/>
  <c r="Q684" i="2" s="1"/>
  <c r="Q736" i="2"/>
  <c r="F34" i="33"/>
  <c r="K805" i="2"/>
  <c r="F60" i="33" s="1"/>
  <c r="J756" i="2"/>
  <c r="X755" i="2"/>
  <c r="Y755" i="2" s="1"/>
  <c r="Z755" i="2" s="1"/>
  <c r="W803" i="2"/>
  <c r="W807" i="2" s="1"/>
  <c r="D72" i="33"/>
  <c r="E72" i="33" s="1"/>
  <c r="G72" i="33" s="1"/>
  <c r="I46" i="33" s="1"/>
  <c r="J742" i="2"/>
  <c r="K680" i="2"/>
  <c r="K743" i="2"/>
  <c r="K742" i="2"/>
  <c r="K741" i="2"/>
  <c r="F35" i="33"/>
  <c r="L805" i="2"/>
  <c r="F61" i="33" s="1"/>
  <c r="K736" i="2"/>
  <c r="D26" i="20"/>
  <c r="M744" i="2"/>
  <c r="M765" i="2" s="1"/>
  <c r="M771" i="2" s="1"/>
  <c r="L684" i="2"/>
  <c r="D11" i="33" s="1"/>
  <c r="E11" i="33" s="1"/>
  <c r="G11" i="33" s="1"/>
  <c r="L748" i="2"/>
  <c r="L744" i="2"/>
  <c r="L765" i="2" s="1"/>
  <c r="L771" i="2" s="1"/>
  <c r="D41" i="33"/>
  <c r="E41" i="33" s="1"/>
  <c r="G41" i="33" s="1"/>
  <c r="M748" i="2"/>
  <c r="D36" i="33" s="1"/>
  <c r="E36" i="33" s="1"/>
  <c r="G36" i="33" s="1"/>
  <c r="R793" i="2"/>
  <c r="R801" i="2" s="1"/>
  <c r="R803" i="2" s="1"/>
  <c r="R807" i="2" s="1"/>
  <c r="I748" i="2"/>
  <c r="D32" i="33" s="1"/>
  <c r="E32" i="33" s="1"/>
  <c r="G32" i="33" s="1"/>
  <c r="I684" i="2"/>
  <c r="D8" i="33" s="1"/>
  <c r="E8" i="33" s="1"/>
  <c r="G8" i="33" s="1"/>
  <c r="C58" i="33"/>
  <c r="C63" i="33"/>
  <c r="D42" i="33"/>
  <c r="E42" i="33" s="1"/>
  <c r="G42" i="33" s="1"/>
  <c r="C69" i="33"/>
  <c r="C59" i="33"/>
  <c r="I744" i="2"/>
  <c r="I765" i="2" s="1"/>
  <c r="I771" i="2" s="1"/>
  <c r="N684" i="2"/>
  <c r="N744" i="2"/>
  <c r="N765" i="2" s="1"/>
  <c r="N771" i="2" s="1"/>
  <c r="N748" i="2"/>
  <c r="S793" i="2"/>
  <c r="S801" i="2" s="1"/>
  <c r="T748" i="2"/>
  <c r="D43" i="33" s="1"/>
  <c r="E43" i="33" s="1"/>
  <c r="G43" i="33" s="1"/>
  <c r="T744" i="2"/>
  <c r="T765" i="2" s="1"/>
  <c r="T771" i="2" s="1"/>
  <c r="T686" i="2"/>
  <c r="S750" i="2"/>
  <c r="S758" i="2" s="1"/>
  <c r="K22" i="14"/>
  <c r="L22" i="14" s="1"/>
  <c r="X752" i="2"/>
  <c r="Y752" i="2" s="1"/>
  <c r="Z752" i="2" s="1"/>
  <c r="G756" i="2"/>
  <c r="F30" i="33" s="1"/>
  <c r="X657" i="2"/>
  <c r="Y657" i="2" s="1"/>
  <c r="Z657" i="2" s="1"/>
  <c r="G669" i="2"/>
  <c r="C7" i="33" s="1"/>
  <c r="C49" i="14"/>
  <c r="D46" i="14"/>
  <c r="M686" i="2"/>
  <c r="K15" i="14"/>
  <c r="E16" i="14"/>
  <c r="X733" i="2"/>
  <c r="Y733" i="2" s="1"/>
  <c r="Z733" i="2" s="1"/>
  <c r="D30" i="14"/>
  <c r="L30" i="14" s="1"/>
  <c r="U750" i="2"/>
  <c r="U758" i="2" s="1"/>
  <c r="O748" i="2" l="1"/>
  <c r="O744" i="2"/>
  <c r="O765" i="2" s="1"/>
  <c r="O771" i="2" s="1"/>
  <c r="O684" i="2"/>
  <c r="U793" i="2"/>
  <c r="U801" i="2" s="1"/>
  <c r="V803" i="2"/>
  <c r="V807" i="2" s="1"/>
  <c r="J684" i="2"/>
  <c r="J686" i="2" s="1"/>
  <c r="J744" i="2"/>
  <c r="J765" i="2" s="1"/>
  <c r="J771" i="2" s="1"/>
  <c r="J748" i="2"/>
  <c r="J750" i="2" s="1"/>
  <c r="J758" i="2" s="1"/>
  <c r="D26" i="26"/>
  <c r="P684" i="2"/>
  <c r="P744" i="2"/>
  <c r="P765" i="2" s="1"/>
  <c r="P771" i="2" s="1"/>
  <c r="P748" i="2"/>
  <c r="Q748" i="2"/>
  <c r="K744" i="2"/>
  <c r="K765" i="2" s="1"/>
  <c r="K771" i="2" s="1"/>
  <c r="D16" i="33"/>
  <c r="E16" i="33" s="1"/>
  <c r="G16" i="33" s="1"/>
  <c r="Q686" i="2"/>
  <c r="Q744" i="2"/>
  <c r="Q765" i="2" s="1"/>
  <c r="Q771" i="2" s="1"/>
  <c r="L793" i="2"/>
  <c r="L801" i="2" s="1"/>
  <c r="D61" i="33" s="1"/>
  <c r="E61" i="33" s="1"/>
  <c r="G61" i="33" s="1"/>
  <c r="D35" i="33"/>
  <c r="E35" i="33" s="1"/>
  <c r="G35" i="33" s="1"/>
  <c r="F33" i="33"/>
  <c r="F47" i="33" s="1"/>
  <c r="J805" i="2"/>
  <c r="F59" i="33" s="1"/>
  <c r="K748" i="2"/>
  <c r="K684" i="2"/>
  <c r="D26" i="17"/>
  <c r="I750" i="2"/>
  <c r="I758" i="2" s="1"/>
  <c r="L750" i="2"/>
  <c r="L758" i="2" s="1"/>
  <c r="L686" i="2"/>
  <c r="M793" i="2"/>
  <c r="M801" i="2" s="1"/>
  <c r="M750" i="2"/>
  <c r="M758" i="2" s="1"/>
  <c r="D67" i="33"/>
  <c r="E67" i="33" s="1"/>
  <c r="G67" i="33" s="1"/>
  <c r="I41" i="33" s="1"/>
  <c r="I793" i="2"/>
  <c r="I801" i="2" s="1"/>
  <c r="I686" i="2"/>
  <c r="D13" i="33"/>
  <c r="E13" i="33" s="1"/>
  <c r="G13" i="33" s="1"/>
  <c r="C22" i="33"/>
  <c r="D68" i="33"/>
  <c r="E68" i="33" s="1"/>
  <c r="G68" i="33" s="1"/>
  <c r="I42" i="33" s="1"/>
  <c r="D14" i="33"/>
  <c r="E14" i="33" s="1"/>
  <c r="G14" i="33" s="1"/>
  <c r="O750" i="2"/>
  <c r="O758" i="2" s="1"/>
  <c r="D38" i="33"/>
  <c r="E38" i="33" s="1"/>
  <c r="G38" i="33" s="1"/>
  <c r="D37" i="33"/>
  <c r="E37" i="33" s="1"/>
  <c r="G37" i="33" s="1"/>
  <c r="O793" i="2"/>
  <c r="O801" i="2" s="1"/>
  <c r="O803" i="2" s="1"/>
  <c r="O807" i="2" s="1"/>
  <c r="D18" i="25" s="1"/>
  <c r="E18" i="25" s="1"/>
  <c r="N686" i="2"/>
  <c r="N750" i="2"/>
  <c r="N758" i="2" s="1"/>
  <c r="N793" i="2"/>
  <c r="N801" i="2" s="1"/>
  <c r="O686" i="2"/>
  <c r="T793" i="2"/>
  <c r="T801" i="2" s="1"/>
  <c r="D69" i="33" s="1"/>
  <c r="E69" i="33" s="1"/>
  <c r="G69" i="33" s="1"/>
  <c r="I43" i="33" s="1"/>
  <c r="T750" i="2"/>
  <c r="T758" i="2" s="1"/>
  <c r="S803" i="2"/>
  <c r="S807" i="2" s="1"/>
  <c r="D47" i="14"/>
  <c r="F46" i="14"/>
  <c r="F47" i="14" s="1"/>
  <c r="J46" i="14"/>
  <c r="J47" i="14" s="1"/>
  <c r="H46" i="14"/>
  <c r="H47" i="14" s="1"/>
  <c r="I46" i="14"/>
  <c r="I47" i="14" s="1"/>
  <c r="G46" i="14"/>
  <c r="G47" i="14" s="1"/>
  <c r="E46" i="14"/>
  <c r="L15" i="14"/>
  <c r="K16" i="14"/>
  <c r="L16" i="14" s="1"/>
  <c r="X756" i="2"/>
  <c r="Y756" i="2" s="1"/>
  <c r="Z756" i="2" s="1"/>
  <c r="G805" i="2"/>
  <c r="F56" i="33" s="1"/>
  <c r="X669" i="2"/>
  <c r="Y669" i="2" s="1"/>
  <c r="Z669" i="2" s="1"/>
  <c r="G704" i="2"/>
  <c r="G717" i="2"/>
  <c r="J793" i="2" l="1"/>
  <c r="J801" i="2" s="1"/>
  <c r="J803" i="2" s="1"/>
  <c r="J807" i="2" s="1"/>
  <c r="D18" i="32" s="1"/>
  <c r="E18" i="32" s="1"/>
  <c r="D9" i="33"/>
  <c r="E9" i="33" s="1"/>
  <c r="G9" i="33" s="1"/>
  <c r="D33" i="33"/>
  <c r="E33" i="33" s="1"/>
  <c r="G33" i="33" s="1"/>
  <c r="D39" i="33"/>
  <c r="E39" i="33" s="1"/>
  <c r="G39" i="33" s="1"/>
  <c r="P750" i="2"/>
  <c r="P758" i="2" s="1"/>
  <c r="P793" i="2"/>
  <c r="P801" i="2" s="1"/>
  <c r="D65" i="33" s="1"/>
  <c r="E65" i="33" s="1"/>
  <c r="G65" i="33" s="1"/>
  <c r="I39" i="33" s="1"/>
  <c r="D15" i="33"/>
  <c r="E15" i="33" s="1"/>
  <c r="G15" i="33" s="1"/>
  <c r="P686" i="2"/>
  <c r="F73" i="33"/>
  <c r="D40" i="33"/>
  <c r="E40" i="33" s="1"/>
  <c r="Q750" i="2"/>
  <c r="Q758" i="2" s="1"/>
  <c r="Q793" i="2"/>
  <c r="Q801" i="2" s="1"/>
  <c r="D10" i="33"/>
  <c r="E10" i="33" s="1"/>
  <c r="G10" i="33" s="1"/>
  <c r="K686" i="2"/>
  <c r="D34" i="33"/>
  <c r="E34" i="33" s="1"/>
  <c r="G34" i="33" s="1"/>
  <c r="K793" i="2"/>
  <c r="K801" i="2" s="1"/>
  <c r="K750" i="2"/>
  <c r="K758" i="2" s="1"/>
  <c r="U803" i="2"/>
  <c r="U807" i="2" s="1"/>
  <c r="D70" i="33"/>
  <c r="E70" i="33" s="1"/>
  <c r="G70" i="33" s="1"/>
  <c r="D58" i="33"/>
  <c r="D63" i="33"/>
  <c r="E63" i="33" s="1"/>
  <c r="G63" i="33" s="1"/>
  <c r="I37" i="33" s="1"/>
  <c r="D64" i="33"/>
  <c r="E64" i="33" s="1"/>
  <c r="G64" i="33" s="1"/>
  <c r="I38" i="33" s="1"/>
  <c r="D62" i="33"/>
  <c r="E62" i="33" s="1"/>
  <c r="G62" i="33" s="1"/>
  <c r="I36" i="33" s="1"/>
  <c r="T803" i="2"/>
  <c r="T807" i="2" s="1"/>
  <c r="I803" i="2"/>
  <c r="I807" i="2" s="1"/>
  <c r="D18" i="27" s="1"/>
  <c r="N803" i="2"/>
  <c r="N807" i="2" s="1"/>
  <c r="D18" i="21" s="1"/>
  <c r="E18" i="21" s="1"/>
  <c r="D20" i="25"/>
  <c r="D24" i="25" s="1"/>
  <c r="D41" i="25" s="1"/>
  <c r="D49" i="25" s="1"/>
  <c r="M803" i="2"/>
  <c r="M807" i="2" s="1"/>
  <c r="D18" i="20" s="1"/>
  <c r="E18" i="20" s="1"/>
  <c r="F18" i="25"/>
  <c r="E20" i="25"/>
  <c r="X805" i="2"/>
  <c r="Y805" i="2" s="1"/>
  <c r="Z805" i="2" s="1"/>
  <c r="K46" i="14"/>
  <c r="L46" i="14" s="1"/>
  <c r="E47" i="14"/>
  <c r="K47" i="14" s="1"/>
  <c r="L47" i="14" s="1"/>
  <c r="X704" i="2"/>
  <c r="Y704" i="2" s="1"/>
  <c r="Z704" i="2" s="1"/>
  <c r="G710" i="2"/>
  <c r="L803" i="2"/>
  <c r="L807" i="2" s="1"/>
  <c r="D18" i="19" s="1"/>
  <c r="G725" i="2"/>
  <c r="C30" i="33" s="1"/>
  <c r="X717" i="2"/>
  <c r="Y717" i="2" s="1"/>
  <c r="Z717" i="2" s="1"/>
  <c r="D59" i="33" l="1"/>
  <c r="E59" i="33" s="1"/>
  <c r="G59" i="33" s="1"/>
  <c r="I33" i="33" s="1"/>
  <c r="P803" i="2"/>
  <c r="P807" i="2" s="1"/>
  <c r="D18" i="26" s="1"/>
  <c r="D20" i="26" s="1"/>
  <c r="D24" i="26" s="1"/>
  <c r="D41" i="26" s="1"/>
  <c r="D49" i="26" s="1"/>
  <c r="Q803" i="2"/>
  <c r="Q807" i="2" s="1"/>
  <c r="D66" i="33"/>
  <c r="E66" i="33" s="1"/>
  <c r="G66" i="33" s="1"/>
  <c r="I40" i="33" s="1"/>
  <c r="G40" i="33"/>
  <c r="D60" i="33"/>
  <c r="E60" i="33" s="1"/>
  <c r="G60" i="33" s="1"/>
  <c r="I35" i="33" s="1"/>
  <c r="K803" i="2"/>
  <c r="K807"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3" i="2"/>
  <c r="X725" i="2"/>
  <c r="Y725" i="2" s="1"/>
  <c r="Z725" i="2" s="1"/>
  <c r="G780" i="2"/>
  <c r="E24" i="25"/>
  <c r="D20" i="19"/>
  <c r="D24" i="19" s="1"/>
  <c r="D41" i="19" s="1"/>
  <c r="D49" i="19" s="1"/>
  <c r="E18" i="19"/>
  <c r="F18" i="21"/>
  <c r="E20" i="21"/>
  <c r="F20" i="25"/>
  <c r="F24" i="25" s="1"/>
  <c r="G18" i="25"/>
  <c r="E20" i="20"/>
  <c r="F18" i="20"/>
  <c r="G736" i="2"/>
  <c r="G741" i="2"/>
  <c r="G680" i="2"/>
  <c r="G743" i="2"/>
  <c r="X743" i="2" s="1"/>
  <c r="Y743" i="2" s="1"/>
  <c r="Z743" i="2" s="1"/>
  <c r="X710" i="2"/>
  <c r="Y710" i="2" s="1"/>
  <c r="Z710" i="2" s="1"/>
  <c r="G742" i="2"/>
  <c r="X742" i="2" s="1"/>
  <c r="Y742" i="2" s="1"/>
  <c r="Z742" i="2" s="1"/>
  <c r="F18" i="32"/>
  <c r="E20" i="32"/>
  <c r="X781" i="2" l="1"/>
  <c r="Y781" i="2" s="1"/>
  <c r="H30" i="33"/>
  <c r="G797" i="2"/>
  <c r="G796" i="2"/>
  <c r="G799" i="2"/>
  <c r="D26" i="14" s="1"/>
  <c r="E18" i="26"/>
  <c r="F18" i="26" s="1"/>
  <c r="D20" i="17"/>
  <c r="D24" i="17" s="1"/>
  <c r="D41" i="17" s="1"/>
  <c r="D49" i="17" s="1"/>
  <c r="E18" i="17"/>
  <c r="F18" i="27"/>
  <c r="E20" i="27"/>
  <c r="F20" i="32"/>
  <c r="F24" i="32" s="1"/>
  <c r="G18" i="32"/>
  <c r="X680" i="2"/>
  <c r="Y680" i="2" s="1"/>
  <c r="Z680" i="2" s="1"/>
  <c r="G684" i="2"/>
  <c r="D7" i="33" s="1"/>
  <c r="E24" i="20"/>
  <c r="X780" i="2"/>
  <c r="Y780" i="2" s="1"/>
  <c r="Z780" i="2" s="1"/>
  <c r="G788" i="2"/>
  <c r="C56" i="33" s="1"/>
  <c r="X741" i="2"/>
  <c r="Y741" i="2" s="1"/>
  <c r="Z741" i="2" s="1"/>
  <c r="G744" i="2"/>
  <c r="H18" i="25"/>
  <c r="G20" i="25"/>
  <c r="G24" i="25" s="1"/>
  <c r="E24" i="21"/>
  <c r="X736" i="2"/>
  <c r="Y736" i="2" s="1"/>
  <c r="Z736" i="2" s="1"/>
  <c r="G748" i="2"/>
  <c r="D30" i="33" s="1"/>
  <c r="G18" i="21"/>
  <c r="F20" i="21"/>
  <c r="F24" i="21" s="1"/>
  <c r="X763" i="2"/>
  <c r="Y763" i="2" s="1"/>
  <c r="Z763" i="2" s="1"/>
  <c r="E24" i="32"/>
  <c r="F20" i="20"/>
  <c r="F24" i="20" s="1"/>
  <c r="G18" i="20"/>
  <c r="E20" i="19"/>
  <c r="F18" i="19"/>
  <c r="H799" i="2" l="1"/>
  <c r="X799" i="2" s="1"/>
  <c r="Y799" i="2" s="1"/>
  <c r="Z799" i="2" s="1"/>
  <c r="H797" i="2"/>
  <c r="X797" i="2" s="1"/>
  <c r="Y797" i="2" s="1"/>
  <c r="Z797" i="2" s="1"/>
  <c r="H796" i="2"/>
  <c r="H788" i="2"/>
  <c r="D36" i="14"/>
  <c r="E20" i="26"/>
  <c r="E24" i="26" s="1"/>
  <c r="F18" i="17"/>
  <c r="E20" i="17"/>
  <c r="E24" i="17" s="1"/>
  <c r="D47" i="33"/>
  <c r="E30" i="33"/>
  <c r="D22" i="33"/>
  <c r="E7" i="33"/>
  <c r="E24" i="27"/>
  <c r="G18" i="27"/>
  <c r="F20" i="27"/>
  <c r="F24" i="27" s="1"/>
  <c r="X748" i="2"/>
  <c r="Y748" i="2" s="1"/>
  <c r="Z748" i="2" s="1"/>
  <c r="G793" i="2"/>
  <c r="G750" i="2"/>
  <c r="H20" i="25"/>
  <c r="I18" i="25"/>
  <c r="F20" i="19"/>
  <c r="F24" i="19" s="1"/>
  <c r="G18" i="19"/>
  <c r="Z795" i="2"/>
  <c r="X744" i="2"/>
  <c r="Y744" i="2" s="1"/>
  <c r="Z744" i="2" s="1"/>
  <c r="G765" i="2"/>
  <c r="G20" i="32"/>
  <c r="H18" i="32"/>
  <c r="E24" i="19"/>
  <c r="G20" i="21"/>
  <c r="H18" i="21"/>
  <c r="G20" i="20"/>
  <c r="G24" i="20" s="1"/>
  <c r="H18" i="20"/>
  <c r="F20" i="26"/>
  <c r="F24" i="26" s="1"/>
  <c r="G18" i="26"/>
  <c r="X684" i="2"/>
  <c r="Y684" i="2" s="1"/>
  <c r="Z684" i="2" s="1"/>
  <c r="G686" i="2"/>
  <c r="X686" i="2" s="1"/>
  <c r="Y686" i="2" s="1"/>
  <c r="Z686" i="2" s="1"/>
  <c r="H801" i="2" l="1"/>
  <c r="D57" i="33" s="1"/>
  <c r="X788" i="2"/>
  <c r="Y788" i="2" s="1"/>
  <c r="Z788" i="2" s="1"/>
  <c r="C57" i="33"/>
  <c r="X796" i="2"/>
  <c r="Y796" i="2" s="1"/>
  <c r="Z796" i="2" s="1"/>
  <c r="H803" i="2"/>
  <c r="H807" i="2"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5" i="2"/>
  <c r="Y765" i="2" s="1"/>
  <c r="Z765" i="2" s="1"/>
  <c r="G771" i="2"/>
  <c r="X771" i="2" s="1"/>
  <c r="Y771" i="2" s="1"/>
  <c r="Z771" i="2" s="1"/>
  <c r="G20" i="26"/>
  <c r="G24" i="26" s="1"/>
  <c r="H18" i="26"/>
  <c r="H20" i="21"/>
  <c r="H24" i="21" s="1"/>
  <c r="I18" i="21"/>
  <c r="I18" i="32"/>
  <c r="H20" i="32"/>
  <c r="H24" i="32" s="1"/>
  <c r="I20" i="25"/>
  <c r="I24" i="25" s="1"/>
  <c r="J18" i="25"/>
  <c r="J20" i="25" s="1"/>
  <c r="J24" i="25" s="1"/>
  <c r="G758" i="2"/>
  <c r="X750" i="2"/>
  <c r="Y750" i="2" s="1"/>
  <c r="Z750" i="2" s="1"/>
  <c r="G24" i="21"/>
  <c r="G24" i="32"/>
  <c r="H24" i="25"/>
  <c r="X793" i="2"/>
  <c r="Y793" i="2" s="1"/>
  <c r="Z793" i="2" s="1"/>
  <c r="G801" i="2"/>
  <c r="D56" i="33" s="1"/>
  <c r="H20" i="20"/>
  <c r="H24" i="20" s="1"/>
  <c r="I18" i="20"/>
  <c r="H18" i="19"/>
  <c r="G20" i="19"/>
  <c r="G24" i="19" s="1"/>
  <c r="E57" i="33" l="1"/>
  <c r="G57" i="33" s="1"/>
  <c r="C73" i="33"/>
  <c r="K36" i="14"/>
  <c r="L36" i="14" s="1"/>
  <c r="E39" i="14"/>
  <c r="K39" i="14" s="1"/>
  <c r="L39" i="14" s="1"/>
  <c r="G20" i="17"/>
  <c r="G24" i="17" s="1"/>
  <c r="H18" i="17"/>
  <c r="D73" i="33"/>
  <c r="E56" i="33"/>
  <c r="I18" i="27"/>
  <c r="H20" i="27"/>
  <c r="I20" i="32"/>
  <c r="J18" i="32"/>
  <c r="J20" i="32" s="1"/>
  <c r="J24" i="32" s="1"/>
  <c r="I20" i="21"/>
  <c r="J18" i="21"/>
  <c r="J20" i="21" s="1"/>
  <c r="J24" i="21" s="1"/>
  <c r="K20" i="25"/>
  <c r="L20" i="25" s="1"/>
  <c r="X801" i="2"/>
  <c r="Y801" i="2" s="1"/>
  <c r="Z801" i="2" s="1"/>
  <c r="G803"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7" i="2"/>
  <c r="D18" i="14" s="1"/>
  <c r="X803" i="2"/>
  <c r="Y803" i="2" s="1"/>
  <c r="Z803"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<sst xmlns="http://schemas.openxmlformats.org/spreadsheetml/2006/main" count="6266" uniqueCount="2574">
  <si>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</si>
  <si>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</si>
  <si>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</si>
  <si>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</si>
  <si>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</si>
  <si>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</si>
  <si>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</si>
  <si>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</si>
  <si>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</si>
  <si>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</si>
  <si>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</si>
  <si>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</si>
  <si>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</si>
  <si>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</si>
  <si>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</si>
  <si>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</si>
  <si>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</si>
  <si>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</si>
  <si>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</si>
  <si>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</si>
  <si>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</si>
  <si>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</si>
  <si>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</si>
  <si>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</si>
  <si>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</si>
  <si>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</si>
  <si>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</si>
  <si>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</si>
  <si>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</si>
  <si>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</si>
  <si>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</si>
  <si>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</si>
  <si>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</si>
  <si>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</si>
  <si>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</si>
  <si>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</si>
  <si>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</si>
  <si>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</si>
  <si>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</si>
  <si>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</si>
  <si>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</si>
  <si>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</si>
  <si>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</si>
  <si>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</si>
  <si>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</si>
  <si>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</si>
  <si>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</si>
  <si>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</si>
  <si>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</si>
  <si>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</si>
  <si>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</si>
  <si>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</si>
  <si>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</si>
  <si>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</si>
  <si>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</si>
  <si>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</si>
  <si>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</si>
  <si>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</si>
  <si>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</si>
  <si>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</si>
  <si>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</si>
  <si>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</si>
  <si>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</si>
  <si>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</si>
  <si>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</si>
  <si>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</si>
  <si>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</si>
  <si>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</si>
  <si>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</si>
  <si>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</si>
  <si>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</si>
  <si>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</si>
  <si>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</si>
  <si>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</si>
  <si>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</si>
  <si>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</si>
  <si>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</si>
  <si>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</si>
  <si>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</si>
  <si>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</si>
  <si>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</si>
  <si>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</si>
  <si>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</si>
  <si>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</si>
  <si>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</si>
  <si>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</si>
  <si>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</si>
  <si>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</si>
  <si>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</si>
  <si>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</si>
  <si>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</si>
  <si>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</si>
  <si>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</si>
  <si>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</si>
  <si>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</si>
  <si>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</si>
  <si>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</si>
  <si>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</si>
  <si>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</si>
  <si>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</si>
  <si>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</si>
  <si>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</si>
  <si>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</si>
  <si>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</si>
  <si>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</si>
  <si>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</si>
  <si>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</si>
  <si>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</si>
  <si>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</si>
  <si>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</si>
  <si>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</si>
  <si>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</si>
  <si>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</si>
  <si>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</si>
  <si>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</si>
  <si>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</si>
  <si>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</si>
  <si>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</si>
  <si>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</si>
  <si>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</si>
  <si>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</si>
  <si>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</si>
  <si>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</si>
  <si>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</si>
  <si>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</si>
  <si>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</si>
  <si>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</si>
  <si>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</si>
  <si>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</si>
  <si>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</si>
  <si>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</si>
  <si>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</si>
  <si>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</si>
  <si>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</si>
  <si>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</si>
  <si>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</si>
  <si>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</si>
  <si>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</si>
  <si>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</si>
  <si>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</si>
  <si>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</si>
  <si>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</si>
  <si>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</si>
  <si>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</si>
  <si>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</si>
  <si>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</si>
  <si>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</si>
  <si>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</si>
  <si>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</si>
  <si>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</si>
  <si>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</si>
  <si>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</si>
  <si>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</si>
  <si>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</si>
  <si>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</si>
  <si>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</si>
  <si>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</si>
  <si>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</si>
  <si>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</si>
  <si>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</si>
  <si>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</si>
  <si>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</si>
  <si>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</si>
  <si>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</si>
  <si>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</si>
  <si>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</si>
  <si>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</si>
  <si>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</si>
  <si>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</si>
  <si>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</si>
  <si>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</si>
  <si>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</si>
  <si>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</si>
  <si>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</si>
  <si>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</si>
  <si>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</si>
  <si>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</si>
  <si>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</si>
  <si>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</si>
  <si>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</si>
  <si>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</si>
  <si>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</si>
  <si>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</si>
  <si>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</si>
  <si>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</si>
  <si>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</si>
  <si>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</si>
  <si>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</si>
  <si>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</si>
  <si>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</si>
  <si>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</si>
  <si>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</si>
  <si>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</si>
  <si>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</si>
  <si>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</si>
  <si>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</si>
  <si>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</si>
  <si>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</si>
  <si>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</si>
  <si>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</si>
  <si>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</si>
  <si>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</si>
  <si>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</si>
  <si>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</si>
  <si>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</si>
  <si>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</si>
  <si>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</si>
  <si>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</si>
  <si>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</si>
  <si>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</si>
  <si>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</si>
  <si>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</si>
  <si>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</si>
  <si>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</si>
  <si>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</si>
  <si>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</si>
  <si>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</si>
  <si>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</si>
  <si>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</si>
  <si>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</si>
  <si>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</si>
  <si>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</si>
  <si>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</si>
  <si>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</si>
  <si>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</si>
  <si>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</si>
  <si>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</si>
  <si>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</si>
  <si>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</si>
  <si>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</si>
  <si>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</si>
  <si>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</si>
  <si>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</si>
  <si>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</si>
  <si>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</si>
  <si>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</si>
  <si>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</si>
  <si>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</si>
  <si>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</si>
  <si>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</si>
  <si>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</si>
  <si>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</si>
  <si>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</si>
  <si>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</si>
  <si>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</si>
  <si>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</si>
  <si>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</si>
  <si>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</si>
  <si>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</si>
  <si>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</si>
  <si>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</si>
  <si>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</si>
  <si>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</si>
  <si>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</si>
  <si>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</si>
  <si>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</si>
  <si>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</si>
  <si>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</si>
  <si>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</si>
  <si>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</si>
  <si>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</si>
  <si>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</si>
  <si>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</si>
  <si>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</si>
  <si>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</si>
  <si>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</si>
  <si>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</si>
  <si>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</si>
  <si>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</si>
  <si>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</si>
  <si>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</si>
  <si>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</si>
  <si>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</si>
  <si>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</si>
  <si>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</si>
  <si>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</si>
  <si>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</si>
  <si>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</si>
  <si>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</si>
  <si>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</si>
  <si>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</si>
  <si>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</si>
  <si>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</si>
  <si>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</si>
  <si>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</si>
  <si>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</si>
  <si>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</si>
  <si>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</si>
  <si>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</si>
  <si>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</si>
  <si>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</si>
  <si>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</si>
  <si>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</si>
  <si>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</si>
  <si>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</si>
  <si>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</si>
  <si>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</si>
  <si>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</si>
  <si>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</si>
  <si>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</si>
  <si>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</si>
  <si>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</si>
  <si>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</si>
  <si>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</si>
  <si>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</si>
  <si>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</si>
  <si>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</si>
  <si>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</si>
  <si>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</si>
  <si>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</si>
  <si>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</si>
  <si>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</si>
  <si>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</si>
  <si>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</si>
  <si>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</si>
  <si>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</si>
  <si>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</si>
  <si>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</si>
  <si>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</si>
  <si>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</si>
  <si>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</si>
  <si>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</si>
  <si>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</si>
  <si>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</si>
  <si>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</si>
  <si>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</si>
  <si>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</si>
  <si>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</si>
  <si>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</si>
  <si>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</si>
  <si>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</si>
  <si>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</si>
  <si>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</si>
  <si>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</si>
  <si>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</si>
  <si>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</si>
  <si>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</si>
  <si>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</si>
  <si>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</si>
  <si>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</si>
  <si>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</si>
  <si>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</si>
  <si>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</si>
  <si>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</si>
  <si>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</si>
  <si>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</si>
  <si>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</si>
  <si>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</si>
  <si>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</si>
  <si>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</si>
  <si>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</si>
  <si>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</si>
  <si>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</si>
  <si>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</si>
  <si>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</si>
  <si>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</si>
  <si>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</si>
  <si>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</si>
  <si>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</si>
  <si>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</si>
  <si>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</si>
  <si>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</si>
  <si>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</si>
  <si>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</si>
  <si>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</si>
  <si>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</si>
  <si>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</si>
  <si>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</si>
  <si>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</si>
  <si>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</si>
  <si>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</si>
  <si>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</si>
  <si>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</si>
  <si>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</si>
  <si>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</si>
  <si>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</si>
  <si>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</si>
  <si>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</si>
  <si>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</si>
  <si>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</si>
  <si>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</si>
  <si>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</si>
  <si>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</si>
  <si>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</si>
  <si>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</si>
  <si>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</si>
  <si>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</si>
  <si>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</si>
  <si>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</si>
  <si>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</si>
  <si>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</si>
  <si>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</si>
  <si>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</si>
  <si>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</si>
  <si>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</si>
  <si>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</si>
  <si>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</si>
  <si>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</si>
  <si>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</si>
  <si>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</si>
  <si>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</si>
  <si>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</si>
  <si>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</si>
  <si>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</si>
  <si>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</si>
  <si>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</si>
  <si>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</si>
  <si>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</si>
  <si>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</si>
  <si>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</si>
  <si>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</si>
  <si>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</si>
  <si>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</si>
  <si>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</si>
  <si>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</si>
  <si>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</si>
  <si>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</si>
  <si>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</si>
  <si>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</si>
  <si>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</si>
  <si>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</si>
  <si>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</si>
  <si>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</si>
  <si>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</si>
  <si>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</si>
  <si>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</si>
  <si>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</si>
  <si>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</si>
  <si>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</si>
  <si>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</si>
  <si>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</si>
  <si>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</si>
  <si>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</si>
  <si>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</si>
  <si>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</si>
  <si>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</si>
  <si>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</si>
  <si>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</si>
  <si>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</si>
  <si>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</si>
  <si>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</si>
  <si>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</si>
  <si>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</si>
  <si>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</si>
  <si>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</si>
  <si>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</si>
  <si>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</si>
  <si>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</si>
  <si>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</si>
  <si>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</si>
  <si>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</si>
  <si>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</si>
  <si>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</si>
  <si>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</si>
  <si>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</si>
  <si>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</si>
  <si>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</si>
  <si>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</si>
  <si>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</si>
  <si>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</si>
  <si>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</si>
  <si>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</si>
  <si>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</si>
  <si>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</si>
  <si>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</si>
  <si>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</si>
  <si>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</si>
  <si>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</si>
  <si>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</si>
  <si>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</si>
  <si>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</si>
  <si>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</si>
  <si>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</si>
  <si>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</si>
  <si>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</si>
  <si>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</si>
  <si>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</si>
  <si>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</si>
  <si>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</si>
  <si>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</si>
  <si>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</si>
  <si>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</si>
  <si>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</si>
  <si>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</si>
  <si>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</si>
  <si>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</si>
  <si>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</si>
  <si>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</si>
  <si>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</si>
  <si>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</si>
  <si>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</si>
  <si>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</si>
  <si>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</si>
  <si>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</si>
  <si>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</si>
  <si>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</si>
  <si>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</si>
  <si>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</si>
  <si>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</si>
  <si>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</si>
  <si>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</si>
  <si>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</si>
  <si>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</si>
  <si>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</si>
  <si>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</si>
  <si>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</si>
  <si>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</si>
  <si>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</si>
  <si>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</si>
  <si>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</si>
  <si>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</si>
  <si>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</si>
  <si>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</si>
  <si>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</si>
  <si>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</si>
  <si>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</si>
  <si>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</si>
  <si>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</si>
  <si>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</si>
  <si>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</si>
  <si>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</si>
  <si>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</si>
  <si>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</si>
  <si>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</si>
  <si>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</si>
  <si>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</si>
  <si>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</si>
  <si>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</si>
  <si>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</si>
  <si>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</si>
  <si>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</si>
  <si>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</si>
  <si>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</si>
  <si>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</si>
  <si>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</si>
  <si>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</si>
  <si>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</si>
  <si>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</si>
  <si>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</si>
  <si>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</si>
  <si>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</si>
  <si>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</si>
  <si>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</si>
  <si>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</si>
  <si>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</si>
  <si>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</si>
  <si>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</si>
  <si>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</si>
  <si>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</si>
  <si>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</si>
  <si>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</si>
  <si>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</si>
  <si>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</si>
  <si>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</si>
  <si>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</si>
  <si>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</si>
  <si>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</si>
  <si>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</si>
  <si>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</si>
  <si>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</si>
  <si>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</si>
  <si>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</si>
  <si>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</si>
  <si>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</si>
  <si>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</si>
  <si>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</si>
  <si>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</si>
  <si>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</si>
  <si>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</si>
  <si>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</si>
  <si>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</si>
  <si>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</si>
  <si>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</si>
  <si>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</si>
  <si>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</si>
  <si>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</si>
  <si>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</si>
  <si>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</si>
  <si>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</si>
  <si>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</si>
  <si>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</si>
  <si>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</si>
  <si>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</si>
  <si>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</si>
  <si>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</si>
  <si>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</si>
  <si>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</si>
  <si>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</si>
  <si>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</si>
  <si>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</si>
  <si>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</si>
  <si>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</si>
  <si>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</si>
  <si>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</si>
  <si>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</si>
  <si>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</si>
  <si>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</si>
  <si>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</si>
  <si>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</si>
  <si>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</si>
  <si>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</si>
  <si>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</si>
  <si>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</si>
  <si>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</si>
  <si>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</si>
  <si>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</si>
  <si>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</si>
  <si>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</si>
  <si>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</si>
  <si>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</si>
  <si>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</si>
  <si>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</si>
  <si>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</si>
  <si>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</si>
  <si>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</si>
  <si>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</si>
  <si>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</si>
  <si>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</si>
  <si>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</si>
  <si>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</si>
  <si>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</si>
  <si>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</si>
  <si>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</si>
  <si>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</si>
  <si>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</si>
  <si>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</si>
  <si>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</si>
  <si>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</si>
  <si>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</si>
  <si>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</si>
  <si>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</si>
  <si>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</si>
  <si>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</si>
  <si>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</si>
  <si>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</si>
  <si>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</si>
  <si>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</si>
  <si>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</si>
  <si>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</si>
  <si>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</si>
  <si>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</si>
  <si>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</si>
  <si>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</si>
  <si>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</si>
  <si>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</si>
  <si>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</si>
  <si>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</si>
  <si>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</si>
  <si>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</si>
  <si>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</si>
  <si>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</si>
  <si>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</si>
  <si>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</si>
  <si>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</si>
  <si>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</si>
  <si>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</si>
  <si>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</si>
  <si>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</si>
  <si>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</si>
  <si>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</si>
  <si>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</si>
  <si>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</si>
  <si>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</si>
  <si>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</si>
  <si>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</si>
  <si>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</si>
  <si>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</si>
  <si>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</si>
  <si>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</si>
  <si>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</si>
  <si>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</si>
  <si>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</si>
  <si>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</si>
  <si>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</si>
  <si>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</si>
  <si>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</si>
  <si>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</si>
  <si>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</si>
  <si>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</si>
  <si>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</si>
  <si>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</si>
  <si>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</si>
  <si>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</si>
  <si>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</si>
  <si>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</si>
  <si>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</si>
  <si>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</si>
  <si>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</si>
  <si>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</si>
  <si>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</si>
  <si>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</si>
  <si>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</si>
  <si>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</si>
  <si>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</si>
  <si>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</si>
  <si>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</si>
  <si>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</si>
  <si>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</si>
  <si>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</si>
  <si>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</si>
  <si>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</si>
  <si>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</si>
  <si>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</si>
  <si>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</si>
  <si>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</si>
  <si>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</si>
  <si>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</si>
  <si>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</si>
  <si>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</si>
  <si>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</si>
  <si>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</si>
  <si>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</si>
  <si>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</si>
  <si>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</si>
  <si>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</si>
  <si>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</si>
  <si>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</si>
  <si>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</si>
  <si>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</si>
  <si>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</si>
  <si>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</si>
  <si>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</si>
  <si>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</si>
  <si>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</si>
  <si>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</si>
  <si>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</si>
  <si>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</si>
  <si>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</si>
  <si>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</si>
  <si>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</si>
  <si>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</si>
  <si>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</si>
  <si>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</si>
  <si>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</si>
  <si>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</si>
  <si>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</si>
  <si>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</si>
  <si>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</si>
  <si>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</si>
  <si>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</si>
  <si>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</si>
  <si>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</si>
  <si>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</si>
  <si>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</si>
  <si>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</si>
  <si>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</si>
  <si>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</si>
  <si>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</si>
  <si>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</si>
  <si>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</si>
  <si>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</si>
  <si>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</si>
  <si>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</si>
  <si>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</si>
  <si>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</si>
  <si>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</si>
  <si>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</si>
  <si>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</si>
  <si>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</si>
  <si>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</si>
  <si>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</si>
  <si>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</si>
  <si>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</si>
  <si>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</si>
  <si>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</si>
  <si>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</si>
  <si>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</si>
  <si>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</si>
  <si>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</si>
  <si>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</si>
  <si>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</si>
  <si>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</si>
  <si>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</si>
  <si>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</si>
  <si>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</si>
  <si>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</si>
  <si>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</si>
  <si>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</si>
  <si>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</si>
  <si>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</si>
  <si>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</si>
  <si>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</si>
  <si>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</si>
  <si>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</si>
  <si>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</si>
  <si>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</si>
  <si>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</si>
  <si>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</si>
  <si>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</si>
  <si>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</si>
  <si>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</si>
  <si>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</si>
  <si>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</si>
  <si>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</si>
  <si>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</si>
  <si>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</si>
  <si>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</si>
  <si>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</si>
  <si>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</si>
  <si>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</si>
  <si>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</si>
  <si>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</si>
  <si>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</si>
  <si>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</si>
  <si>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</si>
  <si>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</si>
  <si>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</si>
  <si>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</si>
  <si>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</si>
  <si>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</si>
  <si>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</si>
  <si>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</si>
  <si>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</si>
  <si>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</si>
  <si>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</si>
  <si>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</si>
  <si>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</si>
  <si>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</si>
  <si>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</si>
  <si>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</si>
  <si>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</si>
  <si>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</si>
  <si>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</si>
  <si>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</si>
  <si>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</si>
  <si>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</si>
  <si>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</si>
  <si>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</si>
  <si>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</si>
  <si>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</si>
  <si>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</si>
  <si>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</si>
  <si>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</si>
  <si>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</si>
  <si>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</si>
  <si>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</si>
  <si>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</si>
  <si>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</si>
  <si>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</si>
  <si>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</si>
  <si>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</si>
  <si>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</si>
  <si>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</si>
  <si>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</si>
  <si>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</si>
  <si>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</si>
  <si>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</si>
  <si>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</si>
  <si>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</si>
  <si>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</si>
  <si>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</si>
  <si>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</si>
  <si>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</si>
  <si>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</si>
  <si>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</si>
  <si>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</si>
  <si>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</si>
  <si>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</si>
  <si>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</si>
  <si>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</si>
  <si>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</si>
  <si>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</si>
  <si>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</si>
  <si>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</si>
  <si>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</si>
  <si>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</si>
  <si>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</si>
  <si>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</si>
  <si>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</si>
  <si>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</si>
  <si>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</si>
  <si>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</si>
  <si>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</si>
  <si>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</si>
  <si>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</si>
  <si>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</si>
  <si>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</si>
  <si>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</si>
  <si>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</si>
  <si>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</si>
  <si>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</si>
  <si>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</si>
  <si>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</si>
  <si>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</si>
  <si>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</si>
  <si>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</si>
  <si>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</si>
  <si>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</si>
  <si>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</si>
  <si>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</si>
  <si>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</si>
  <si>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</si>
  <si>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</si>
  <si>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</si>
  <si>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</si>
  <si>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</si>
  <si>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</si>
  <si>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</si>
  <si>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</si>
  <si>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</si>
  <si>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</si>
  <si>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</si>
  <si>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</si>
  <si>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</si>
  <si>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</si>
  <si>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</si>
  <si>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</si>
  <si>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</si>
  <si>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</si>
  <si>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</si>
  <si>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</si>
  <si>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</si>
  <si>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</si>
  <si>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</si>
  <si>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</si>
  <si>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</si>
  <si>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</si>
  <si>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</si>
  <si>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</si>
  <si>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</si>
  <si>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</si>
  <si>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</si>
  <si>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</si>
  <si>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</si>
  <si>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</si>
  <si>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</si>
  <si>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</si>
  <si>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</si>
  <si>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</si>
  <si>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</si>
  <si>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</si>
  <si>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</si>
  <si>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</si>
  <si>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</si>
  <si>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</si>
  <si>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</si>
  <si>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</si>
  <si>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</si>
  <si>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</si>
  <si>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</si>
  <si>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</si>
  <si>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</si>
  <si>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</si>
  <si>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</si>
  <si>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</si>
  <si>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</si>
  <si>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</si>
  <si>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</si>
  <si>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</si>
  <si>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</si>
  <si>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</si>
  <si>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</si>
  <si>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</si>
  <si>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</si>
  <si>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</si>
  <si>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</si>
  <si>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</si>
  <si>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</si>
  <si>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</si>
  <si>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</si>
  <si>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</si>
  <si>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</si>
  <si>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</si>
  <si>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</si>
  <si>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</si>
  <si>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</si>
  <si>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</si>
  <si>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</si>
  <si>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</si>
  <si>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</si>
  <si>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</si>
  <si>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</si>
  <si>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</si>
  <si>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</si>
  <si>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</si>
  <si>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</si>
  <si>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</si>
  <si>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</si>
  <si>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</si>
  <si>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</si>
  <si>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</si>
  <si>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</si>
  <si>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</si>
  <si>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</si>
  <si>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</si>
  <si>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</si>
  <si>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</si>
  <si>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</si>
  <si>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</si>
  <si>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</si>
  <si>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</si>
  <si>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</si>
  <si>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</si>
  <si>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</si>
  <si>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</si>
  <si>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</si>
  <si>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</si>
  <si>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</si>
  <si>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</si>
  <si>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</si>
  <si>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</si>
  <si>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</si>
  <si>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</si>
  <si>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</si>
  <si>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</si>
  <si>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</si>
  <si>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</si>
  <si>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</si>
  <si>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</si>
  <si>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</si>
  <si>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</si>
  <si>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</si>
  <si>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</si>
  <si>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</si>
  <si>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</si>
  <si>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</si>
  <si>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</si>
  <si>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</si>
  <si>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</si>
  <si>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</si>
  <si>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</si>
  <si>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</si>
  <si>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</si>
  <si>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</si>
  <si>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</si>
  <si>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</si>
  <si>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</si>
  <si>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</si>
  <si>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</si>
  <si>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</si>
  <si>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</si>
  <si>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</si>
  <si>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</si>
  <si>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</si>
  <si>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</si>
  <si>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</si>
  <si>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</si>
  <si>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</si>
  <si>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</si>
  <si>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</si>
  <si>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</si>
  <si>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</si>
  <si>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</si>
  <si>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</si>
  <si>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</si>
  <si>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</si>
  <si>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</si>
  <si>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</si>
  <si>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</si>
  <si>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</si>
  <si>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</si>
  <si>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</si>
  <si>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</si>
  <si>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</si>
  <si>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</si>
  <si>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</si>
  <si>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</si>
  <si>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</si>
  <si>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</si>
  <si>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</si>
  <si>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</si>
  <si>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</si>
  <si>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</si>
  <si>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</si>
  <si>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</si>
  <si>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</si>
  <si>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</si>
  <si>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</si>
  <si>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</si>
  <si>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</si>
  <si>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</si>
  <si>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</si>
  <si>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</si>
  <si>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</si>
  <si>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</si>
  <si>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</si>
  <si>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</si>
  <si>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</si>
  <si>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</si>
  <si>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</si>
  <si>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</si>
  <si>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</si>
  <si>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</si>
  <si>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</si>
  <si>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</si>
  <si>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</si>
  <si>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</si>
  <si>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</si>
  <si>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</si>
  <si>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</si>
  <si>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</si>
  <si>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</si>
  <si>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</si>
  <si>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</si>
  <si>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</si>
  <si>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</si>
  <si>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</si>
  <si>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</si>
  <si>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</si>
  <si>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</si>
  <si>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</si>
  <si>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</si>
  <si>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</si>
  <si>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</si>
  <si>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</si>
  <si>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</si>
  <si>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</si>
  <si>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</si>
  <si>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</si>
  <si>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</si>
  <si>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</si>
  <si>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</si>
  <si>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</si>
  <si>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</si>
  <si>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</si>
  <si>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</si>
  <si>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</si>
  <si>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</si>
  <si>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</si>
  <si>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</si>
  <si>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</si>
  <si>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</si>
  <si>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</si>
  <si>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</si>
  <si>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</si>
  <si>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</si>
  <si>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</si>
  <si>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</si>
  <si>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</si>
  <si>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</si>
  <si>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</si>
  <si>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</si>
  <si>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</si>
  <si>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</si>
  <si>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</si>
  <si>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</si>
  <si>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</si>
  <si>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</si>
  <si>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</si>
  <si>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</si>
  <si>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</si>
  <si>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</si>
  <si>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</si>
  <si>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</si>
  <si>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</si>
  <si>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</si>
  <si>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</si>
  <si>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</si>
  <si>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</si>
  <si>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</si>
  <si>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</si>
  <si>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</si>
  <si>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</si>
  <si>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</si>
  <si>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</si>
  <si>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</si>
  <si>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</si>
  <si>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</si>
  <si>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</si>
  <si>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</si>
  <si>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</si>
  <si>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</si>
  <si>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</si>
  <si>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</si>
  <si>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</si>
  <si>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</si>
  <si>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</si>
  <si>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</si>
  <si>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</si>
  <si>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</si>
  <si>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</si>
  <si>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</si>
  <si>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</si>
  <si>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</si>
  <si>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</si>
  <si>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</si>
  <si>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</si>
  <si>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</si>
  <si>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</si>
  <si>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</si>
  <si>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</si>
  <si>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</si>
  <si>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</si>
  <si>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</si>
  <si>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</si>
  <si>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</si>
  <si>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</si>
  <si>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</si>
  <si>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</si>
  <si>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</si>
  <si>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</si>
  <si>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</si>
  <si>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</si>
  <si>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</si>
  <si>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</si>
  <si>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</si>
  <si>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</si>
  <si>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</si>
  <si>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</si>
  <si>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</si>
  <si>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</si>
  <si>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</si>
  <si>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</si>
  <si>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</si>
  <si>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</si>
  <si>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</si>
  <si>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</si>
  <si>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</si>
  <si>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</si>
  <si>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</si>
  <si>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</si>
  <si>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</si>
  <si>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</si>
  <si>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</si>
  <si>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</si>
  <si>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</si>
  <si>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</si>
  <si>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</si>
  <si>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</si>
  <si>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</si>
  <si>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</si>
  <si>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</si>
  <si>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</si>
  <si>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</si>
  <si>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</si>
  <si>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</si>
  <si>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</si>
  <si>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</si>
  <si>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</si>
  <si>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</si>
  <si>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</si>
  <si>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</si>
  <si>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</si>
  <si>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</si>
  <si>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</si>
  <si>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</si>
  <si>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</si>
  <si>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</si>
  <si>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</si>
  <si>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</si>
  <si>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</si>
  <si>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</si>
  <si>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</si>
  <si>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</si>
  <si>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</si>
  <si>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</si>
  <si>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</si>
  <si>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</si>
  <si>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</si>
  <si>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</si>
  <si>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</si>
  <si>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</si>
  <si>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</si>
  <si>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</si>
  <si>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</si>
  <si>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</si>
  <si>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</si>
  <si>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</si>
  <si>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</si>
  <si>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</si>
  <si>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</si>
  <si>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</si>
  <si>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</si>
  <si>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</si>
  <si>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</si>
  <si>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</si>
  <si>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</si>
  <si>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</si>
  <si>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</si>
  <si>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</si>
  <si>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</si>
  <si>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</si>
  <si>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</si>
  <si>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</si>
  <si>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</si>
  <si>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</si>
  <si>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</si>
  <si>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</si>
  <si>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</si>
  <si>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</si>
  <si>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</si>
  <si>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</si>
  <si>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</si>
  <si>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</si>
  <si>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</si>
  <si>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</si>
  <si>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</si>
  <si>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</si>
  <si>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</si>
  <si>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</si>
  <si>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</si>
  <si>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</si>
  <si>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</si>
  <si>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</si>
  <si>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</si>
  <si>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</si>
  <si>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</si>
  <si>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</si>
  <si>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</si>
  <si>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</si>
  <si>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</si>
  <si>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</si>
  <si>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</si>
  <si>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</si>
  <si>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</si>
  <si>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</si>
  <si>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</si>
  <si>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</si>
  <si>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</si>
  <si>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</si>
  <si>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</si>
  <si>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</si>
  <si>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</si>
  <si>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</si>
  <si>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</si>
  <si>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</si>
  <si>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</si>
  <si>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</si>
  <si>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</si>
  <si>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</si>
  <si>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</si>
  <si>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</si>
  <si>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</si>
  <si>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</si>
  <si>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</si>
  <si>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</si>
  <si>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</si>
  <si>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</si>
  <si>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</si>
  <si>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</si>
  <si>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</si>
  <si>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</si>
  <si>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</si>
  <si>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</si>
  <si>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</si>
  <si>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</si>
  <si>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</si>
  <si>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</si>
  <si>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</si>
  <si>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</si>
  <si>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</si>
  <si>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</si>
  <si>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</si>
  <si>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</si>
  <si>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</si>
  <si>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</si>
  <si>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</si>
  <si>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</si>
  <si>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</si>
  <si>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</si>
  <si>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</si>
  <si>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</si>
  <si>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</si>
  <si>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</si>
  <si>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</si>
  <si>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</si>
  <si>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</si>
  <si>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</si>
  <si>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</si>
  <si>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</si>
  <si>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</si>
  <si>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</si>
  <si>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</si>
  <si>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</si>
  <si>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</si>
  <si>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</si>
  <si>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</si>
  <si>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</si>
  <si>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</si>
  <si>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</si>
  <si>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</si>
  <si>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</si>
  <si>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</si>
  <si>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</si>
  <si>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</si>
  <si>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</si>
  <si>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</si>
  <si>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</si>
  <si>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</si>
  <si>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</si>
  <si>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</si>
  <si>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</si>
  <si>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</si>
  <si>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</si>
  <si>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</si>
  <si>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</si>
  <si>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</si>
  <si>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</si>
  <si>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</si>
  <si>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</si>
  <si>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</si>
  <si>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</si>
  <si>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</si>
  <si>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</si>
  <si>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</si>
  <si>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</si>
  <si>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</si>
  <si>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</si>
  <si>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</si>
  <si>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</si>
  <si>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</si>
  <si>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</si>
  <si>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</si>
  <si>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</si>
  <si>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</si>
  <si>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</si>
  <si>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</si>
  <si>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</si>
  <si>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</si>
  <si>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</si>
  <si>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</si>
  <si>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</si>
  <si>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</si>
  <si>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</si>
  <si>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</si>
  <si>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</si>
  <si>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</si>
  <si>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</si>
  <si>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</si>
  <si>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</si>
  <si>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</si>
  <si>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</si>
  <si>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</si>
  <si>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</si>
  <si>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</si>
  <si>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</si>
  <si>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</si>
  <si>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</si>
  <si>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</si>
  <si>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</si>
  <si>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</si>
  <si>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</si>
  <si>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</si>
  <si>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</si>
  <si>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</si>
  <si>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</si>
  <si>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</si>
  <si>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</si>
  <si>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</si>
  <si>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</si>
  <si>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</si>
  <si>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</si>
  <si>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</si>
  <si>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</si>
  <si>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</si>
  <si>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</si>
  <si>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</si>
  <si>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</si>
  <si>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</si>
  <si>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</si>
  <si>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</si>
  <si>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</si>
  <si>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</si>
  <si>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</si>
  <si>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</si>
  <si>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</si>
  <si>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</si>
  <si>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</si>
  <si>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</si>
  <si>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</si>
  <si>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</si>
  <si>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</si>
  <si>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</si>
  <si>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</si>
  <si>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</si>
  <si>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</si>
  <si>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</si>
  <si>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</si>
  <si>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</si>
  <si>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</si>
  <si>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</si>
  <si>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</si>
  <si>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</si>
  <si>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</si>
  <si>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</si>
  <si>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</si>
  <si>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</si>
  <si>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</si>
  <si>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</si>
  <si>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</si>
  <si>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</si>
  <si>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</si>
  <si>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</si>
  <si>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</si>
  <si>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</si>
  <si>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</si>
  <si>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</si>
  <si>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</si>
  <si>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</si>
  <si>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</si>
  <si>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</si>
  <si>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</si>
  <si>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</si>
  <si>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</si>
  <si>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</si>
  <si>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</si>
  <si>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</si>
  <si>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</si>
  <si>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</si>
  <si>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</si>
  <si>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</si>
  <si>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</si>
  <si>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</si>
  <si>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</si>
  <si>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</si>
  <si>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</si>
  <si>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</si>
  <si>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</si>
  <si>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</si>
  <si>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</si>
  <si>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</si>
  <si>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</si>
  <si>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</si>
  <si>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</si>
  <si>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</si>
  <si>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</si>
  <si>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</si>
  <si>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</si>
  <si>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</si>
  <si>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</si>
  <si>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</si>
  <si>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</si>
  <si>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</si>
  <si>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</si>
  <si>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</si>
  <si>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</si>
  <si>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</si>
  <si>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</si>
  <si>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</si>
  <si>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</si>
  <si>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</si>
  <si>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</si>
  <si>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</si>
  <si>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</si>
  <si>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</si>
  <si>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</si>
  <si>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</si>
  <si>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</si>
  <si>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</si>
  <si>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</si>
  <si>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</si>
  <si>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</si>
  <si>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</si>
  <si>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</si>
  <si>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</si>
  <si>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</si>
  <si>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</si>
  <si>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</si>
  <si>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</si>
  <si>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</si>
  <si>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</si>
  <si>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</si>
  <si>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</si>
  <si>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</si>
  <si>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</si>
  <si>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</si>
  <si>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</si>
  <si>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</si>
  <si>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</si>
  <si>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</si>
  <si>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</si>
  <si>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</si>
  <si>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</si>
  <si>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</si>
  <si>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</si>
  <si>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</si>
  <si>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</si>
  <si>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</si>
  <si>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</si>
  <si>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</si>
  <si>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</si>
  <si>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</si>
  <si>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</si>
  <si>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</si>
  <si>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</si>
  <si>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</si>
  <si>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</si>
  <si>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</si>
  <si>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</si>
  <si>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</si>
  <si>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</si>
  <si>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</si>
  <si>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</si>
  <si>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</si>
  <si>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</si>
  <si>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</si>
  <si>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</si>
  <si>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</si>
  <si>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</si>
  <si>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</si>
  <si>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</si>
  <si>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</si>
  <si>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</si>
  <si>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</si>
  <si>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</si>
  <si>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</si>
  <si>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</si>
  <si>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</si>
  <si>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</si>
  <si>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</si>
  <si>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</si>
  <si>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</si>
  <si>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</si>
  <si>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</si>
  <si>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</si>
  <si>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</si>
  <si>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</si>
  <si>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</si>
  <si>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</si>
  <si>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</si>
  <si>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</si>
  <si>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</si>
  <si>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</si>
  <si>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</si>
  <si>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</si>
  <si>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</si>
  <si>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</si>
  <si>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</si>
  <si>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</si>
  <si>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</si>
  <si>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</si>
  <si>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</si>
  <si>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</si>
  <si>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</si>
  <si>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</si>
  <si>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</si>
  <si>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</si>
  <si>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</si>
  <si>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</si>
  <si>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</si>
  <si>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</si>
  <si>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</si>
  <si>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</si>
  <si>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</si>
  <si>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</si>
  <si>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</si>
  <si>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</si>
  <si>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</si>
  <si>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</si>
  <si>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</si>
  <si>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</si>
  <si>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</si>
  <si>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</si>
  <si>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</si>
  <si>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</si>
  <si>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</si>
  <si>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</si>
  <si>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</si>
  <si>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</si>
  <si>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</si>
  <si>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</si>
  <si>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</si>
  <si>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</si>
  <si>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</si>
  <si>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</si>
  <si>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</si>
  <si>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</si>
  <si>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</si>
  <si>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</si>
  <si>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</si>
  <si>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</si>
  <si>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</si>
  <si>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</si>
  <si>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</si>
  <si>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</si>
  <si>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</si>
  <si>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</si>
  <si>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</si>
  <si>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</si>
  <si>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</si>
  <si>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</si>
  <si>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</si>
  <si>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</si>
  <si>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</si>
  <si>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</si>
  <si>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</si>
  <si>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</si>
  <si>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</si>
  <si>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</si>
  <si>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</si>
  <si>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</si>
  <si>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</si>
  <si>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</si>
  <si>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</si>
  <si>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</si>
  <si>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</si>
  <si>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</si>
  <si>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</si>
  <si>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</si>
  <si>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</si>
  <si>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</si>
  <si>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</si>
  <si>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</si>
  <si>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</si>
  <si>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</si>
  <si>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</si>
  <si>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</si>
  <si>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</si>
  <si>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</si>
  <si>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</si>
  <si>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</si>
  <si>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</si>
  <si>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</si>
  <si>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</si>
  <si>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</si>
  <si>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</si>
  <si>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</si>
  <si>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</si>
  <si>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</si>
  <si>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</si>
  <si>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</si>
  <si>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</si>
  <si>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</si>
  <si>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</si>
  <si>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</si>
  <si>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</si>
  <si>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</si>
  <si>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</si>
  <si>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</si>
  <si>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</si>
  <si>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</si>
  <si>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</si>
  <si>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</si>
  <si>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</si>
  <si>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</si>
  <si>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</si>
  <si>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</si>
  <si>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</si>
  <si>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</si>
  <si>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</si>
  <si>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</si>
  <si>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</si>
  <si>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</si>
  <si>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</si>
  <si>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</si>
  <si>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</si>
  <si>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</si>
  <si>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</si>
  <si>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</si>
  <si>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</si>
  <si>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</si>
  <si>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</si>
  <si>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</si>
  <si>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</si>
  <si>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</si>
  <si>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</si>
  <si>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</si>
  <si>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</si>
  <si>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</si>
  <si>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</si>
  <si>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</si>
  <si>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</si>
  <si>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</si>
  <si>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</si>
  <si>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</si>
  <si>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</si>
  <si>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</si>
  <si>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</si>
  <si>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</si>
  <si>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</si>
  <si>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</si>
  <si>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</si>
  <si>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</si>
  <si>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</si>
  <si>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</si>
  <si>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</si>
  <si>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</si>
  <si>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</si>
  <si>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</si>
  <si>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</si>
  <si>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</si>
  <si>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</si>
  <si>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</si>
  <si>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</si>
  <si>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</si>
  <si>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</si>
  <si>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</si>
  <si>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</si>
  <si>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</si>
  <si>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</si>
  <si>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</si>
  <si>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</si>
  <si>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</si>
  <si>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</si>
  <si>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</si>
  <si>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</si>
  <si>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</si>
  <si>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</si>
  <si>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</si>
  <si>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</si>
  <si>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</si>
  <si>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</si>
  <si>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</si>
  <si>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</si>
  <si>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</si>
  <si>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</si>
  <si>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</si>
  <si>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</si>
  <si>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</si>
  <si>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</si>
  <si>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</si>
  <si>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</si>
  <si>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</si>
  <si>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</si>
  <si>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</si>
  <si>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</si>
  <si>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</si>
  <si>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</si>
  <si>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</si>
  <si>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</si>
  <si>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</si>
  <si>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</si>
  <si>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</si>
  <si>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</si>
  <si>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</si>
  <si>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</si>
  <si>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</si>
  <si>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</si>
  <si>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</si>
  <si>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</si>
  <si>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</si>
  <si>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</si>
  <si>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</si>
  <si>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</si>
  <si>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</si>
  <si>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</si>
  <si>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</si>
  <si>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</si>
  <si>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</si>
  <si>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</si>
  <si>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</si>
  <si>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</si>
  <si>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</si>
  <si>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</si>
  <si>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</si>
  <si>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</si>
  <si>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</si>
  <si>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</si>
  <si>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</si>
  <si>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</si>
  <si>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</si>
  <si>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</si>
  <si>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</si>
  <si>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</si>
  <si>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</si>
  <si>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</si>
  <si>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</si>
  <si>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</si>
  <si>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</si>
  <si>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</si>
  <si>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</si>
  <si>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</si>
  <si>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</si>
  <si>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</si>
  <si>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</si>
  <si>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</si>
  <si>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</si>
  <si>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</si>
  <si>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</si>
  <si>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</si>
  <si>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</si>
  <si>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</si>
  <si>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</si>
  <si>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</si>
  <si>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</si>
  <si>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</si>
  <si>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</si>
  <si>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</si>
  <si>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</si>
  <si>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</si>
  <si>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</si>
  <si>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</si>
  <si>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</si>
  <si>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</si>
  <si>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</si>
  <si>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</si>
  <si>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</si>
  <si>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</si>
  <si>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</si>
  <si>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</si>
  <si>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</si>
  <si>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</si>
  <si>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</si>
  <si>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</si>
  <si>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</si>
  <si>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</si>
  <si>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</si>
  <si>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</si>
  <si>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</si>
  <si>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</si>
  <si>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</si>
  <si>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</si>
  <si>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</si>
  <si>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</si>
  <si>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</si>
  <si>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</si>
  <si>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</si>
  <si>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</si>
  <si>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</si>
  <si>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</si>
  <si>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</si>
  <si>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</si>
  <si>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</si>
  <si>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</si>
  <si>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</si>
  <si>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</si>
  <si>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</si>
  <si>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</si>
  <si>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</si>
  <si>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</si>
  <si>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</si>
  <si>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</si>
  <si>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</si>
  <si>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</si>
  <si>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</si>
  <si>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</si>
  <si>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</si>
  <si>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</si>
  <si>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</si>
  <si>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</si>
  <si>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</si>
  <si>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</si>
  <si>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</si>
  <si>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</si>
  <si>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</si>
  <si>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</si>
  <si>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</si>
  <si>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</si>
  <si>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</si>
  <si>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</si>
  <si>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</si>
  <si>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</si>
  <si>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</si>
  <si>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</si>
  <si>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</si>
  <si>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</si>
  <si>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</si>
  <si>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</si>
  <si>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</si>
  <si>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</si>
  <si>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</si>
  <si>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</si>
  <si>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</si>
  <si>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</si>
  <si>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</si>
  <si>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</si>
  <si>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</si>
  <si>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</si>
  <si>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</si>
  <si>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</si>
  <si>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</si>
  <si>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</si>
  <si>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</si>
  <si>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</si>
  <si>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</si>
  <si>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</si>
  <si>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</si>
  <si>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</si>
  <si>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</si>
  <si>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</si>
  <si>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</si>
  <si>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</si>
  <si>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</si>
  <si>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</si>
  <si>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</si>
  <si>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</si>
  <si>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</si>
  <si>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</si>
  <si>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</si>
  <si>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</si>
  <si>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</si>
  <si>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</si>
  <si>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</si>
  <si>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</si>
  <si>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</si>
  <si>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</si>
  <si>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</si>
  <si>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</si>
  <si>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</si>
  <si>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</si>
  <si>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</si>
  <si>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</si>
  <si>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</si>
  <si>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</si>
  <si>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</si>
  <si>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</si>
  <si>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</si>
  <si>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</si>
  <si>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</si>
  <si>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</si>
  <si>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</si>
  <si>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</si>
  <si>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</si>
  <si>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</si>
  <si>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</si>
  <si>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</si>
  <si>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</si>
  <si>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</si>
  <si>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</si>
  <si>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</si>
  <si>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</si>
  <si>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</si>
  <si>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</si>
  <si>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</si>
  <si>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</si>
  <si>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</si>
  <si>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</si>
  <si>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</si>
  <si>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</si>
  <si>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</si>
  <si>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</si>
  <si>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</si>
  <si>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</si>
  <si>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</si>
  <si>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</si>
  <si>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</si>
  <si>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</si>
  <si>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</si>
  <si>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</si>
  <si>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</si>
  <si>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</si>
  <si>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</si>
  <si>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</si>
  <si>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</si>
  <si>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</si>
  <si>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</si>
  <si>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</si>
  <si>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</si>
  <si>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</si>
  <si>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</si>
  <si>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</si>
  <si>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</si>
  <si>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</si>
  <si>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</si>
  <si>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</si>
  <si>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</si>
  <si>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</si>
  <si>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</si>
  <si>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</si>
  <si>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</si>
  <si>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</si>
  <si>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</si>
  <si>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</si>
  <si>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</si>
  <si>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</si>
  <si>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</si>
  <si>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</si>
  <si>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</si>
  <si>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</si>
  <si>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</si>
  <si>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</si>
  <si>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</si>
  <si>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</si>
  <si>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</si>
  <si>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</si>
  <si>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</si>
  <si>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</si>
  <si>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</si>
  <si>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</si>
  <si>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</si>
  <si>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</si>
  <si>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</si>
  <si>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</si>
  <si>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</si>
  <si>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</si>
  <si>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</si>
  <si>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</si>
  <si>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</si>
  <si>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</si>
  <si>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</si>
  <si>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</si>
  <si>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</si>
  <si>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</si>
  <si>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</si>
  <si>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</si>
  <si>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</si>
  <si>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</si>
  <si>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</si>
  <si>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</si>
  <si>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</si>
  <si>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</si>
  <si>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</si>
  <si>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</si>
  <si>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</si>
  <si>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</si>
  <si>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</si>
  <si>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</si>
  <si>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</si>
  <si>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</si>
  <si>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</si>
  <si>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</si>
  <si>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</si>
  <si>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</si>
  <si>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</si>
  <si>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</si>
  <si>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</si>
  <si>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</si>
  <si>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</si>
  <si>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</si>
  <si>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</si>
  <si>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</si>
  <si>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</si>
  <si>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</si>
  <si>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</si>
  <si>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</si>
  <si>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</si>
  <si>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</si>
  <si>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</si>
  <si>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</si>
  <si>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</si>
  <si>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</si>
  <si>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</si>
  <si>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</si>
  <si>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</si>
  <si>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</si>
  <si>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</si>
  <si>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</si>
  <si>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</si>
  <si>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</si>
  <si>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</si>
  <si>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</si>
  <si>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</si>
  <si>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</si>
  <si>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</si>
  <si>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</si>
  <si>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</si>
  <si>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</si>
  <si>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</si>
  <si>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</si>
  <si>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</si>
  <si>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</si>
  <si>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</si>
  <si>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</si>
  <si>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</si>
  <si>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</si>
  <si>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</si>
  <si>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</si>
  <si>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</si>
  <si>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</si>
  <si>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</si>
  <si>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</si>
  <si>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</si>
  <si>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</si>
  <si>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</si>
  <si>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</si>
  <si>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</si>
  <si>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</si>
  <si>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</si>
  <si>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</si>
  <si>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</si>
  <si>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</si>
  <si>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</si>
  <si>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</si>
  <si>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</si>
  <si>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</si>
  <si>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</si>
  <si>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</si>
  <si>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</si>
  <si>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</si>
  <si>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</si>
  <si>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</si>
  <si>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</si>
  <si>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</si>
  <si>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</si>
  <si>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</si>
  <si>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</si>
  <si>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</si>
  <si>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</si>
  <si>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</si>
  <si>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</si>
  <si>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</si>
  <si>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</si>
  <si>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</si>
  <si>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</si>
  <si>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</si>
  <si>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</si>
  <si>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</si>
  <si>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</si>
  <si>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</si>
  <si>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</si>
  <si>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</si>
  <si>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</si>
  <si>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</si>
  <si>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</si>
  <si>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</si>
  <si>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</si>
  <si>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</si>
  <si>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</si>
  <si>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</si>
  <si>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</si>
  <si>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</si>
  <si>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</si>
  <si>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</si>
  <si>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</si>
  <si>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</si>
  <si>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</si>
  <si>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</si>
  <si>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</si>
  <si>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</si>
  <si>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</si>
  <si>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</si>
  <si>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</si>
  <si>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</si>
  <si>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</si>
  <si>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</si>
  <si>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</si>
  <si>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</si>
  <si>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</si>
  <si>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</si>
  <si>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</si>
  <si>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</si>
  <si>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</si>
  <si>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</si>
  <si>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</si>
  <si>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</si>
  <si>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</si>
  <si>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</si>
  <si>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</si>
  <si>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</si>
  <si>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</si>
  <si>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</si>
  <si>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</si>
  <si>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</si>
  <si>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</si>
  <si>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</si>
  <si>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</si>
  <si>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</si>
  <si>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</si>
  <si>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</si>
  <si>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</si>
  <si>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</si>
  <si>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</si>
  <si>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</si>
  <si>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</si>
  <si>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</si>
  <si>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</si>
  <si>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</si>
  <si>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</si>
  <si>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</si>
  <si>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</si>
  <si>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</si>
  <si>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</si>
  <si>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</si>
  <si>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</si>
  <si>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</si>
  <si>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</si>
  <si>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</si>
  <si>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</si>
  <si>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</si>
  <si>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</si>
  <si>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</si>
  <si>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</si>
  <si>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</si>
  <si>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</si>
  <si>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</si>
  <si>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</si>
  <si>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</si>
  <si>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</si>
  <si>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</si>
  <si>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</si>
  <si>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</si>
  <si>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</si>
  <si>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</si>
  <si>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</si>
  <si>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</si>
  <si>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</si>
  <si>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</si>
  <si>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</si>
  <si>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</si>
  <si>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</si>
  <si>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</si>
  <si>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</si>
  <si>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</si>
  <si>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</si>
  <si>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</si>
  <si>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</si>
  <si>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</si>
  <si>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</si>
  <si>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</si>
  <si>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</si>
  <si>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</si>
  <si>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</si>
  <si>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</si>
  <si>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</si>
  <si>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</si>
  <si>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</si>
  <si>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</si>
  <si>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</si>
  <si>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</si>
  <si>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</si>
  <si>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</si>
  <si>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</si>
  <si>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</si>
  <si>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</si>
  <si>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</si>
  <si>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</si>
  <si>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</si>
  <si>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</si>
  <si>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</si>
  <si>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</si>
  <si>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</si>
  <si>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</si>
  <si>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</si>
  <si>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</si>
  <si>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</si>
  <si>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</si>
  <si>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</si>
  <si>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</si>
  <si>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</si>
  <si>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</si>
  <si>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</si>
  <si>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</si>
  <si>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</si>
  <si>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</si>
  <si>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</si>
  <si>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</si>
  <si>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</si>
  <si>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</si>
  <si>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</si>
  <si>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</si>
  <si>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</si>
  <si>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</si>
  <si>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</si>
  <si>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</si>
  <si>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</si>
  <si>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</si>
  <si>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</si>
  <si>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</si>
  <si>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</si>
  <si>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</si>
  <si>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</si>
  <si>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</si>
  <si>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</si>
  <si>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</si>
  <si>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</si>
  <si>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</si>
  <si>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</si>
  <si>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</si>
  <si>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</si>
  <si>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</si>
  <si>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</si>
  <si>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</si>
  <si>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</si>
  <si>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</si>
  <si>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</si>
  <si>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</si>
  <si>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</si>
  <si>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</si>
  <si>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</si>
  <si>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</si>
  <si>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</si>
  <si>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</si>
  <si>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</si>
  <si>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</si>
  <si>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</si>
  <si>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</si>
  <si>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</si>
  <si>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</si>
  <si>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</si>
  <si>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</si>
  <si>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</si>
  <si>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</si>
  <si>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</si>
  <si>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</si>
  <si>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</si>
  <si>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</si>
  <si>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</si>
  <si>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</si>
  <si>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</si>
  <si>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</si>
  <si>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</si>
  <si>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</si>
  <si>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</si>
  <si>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</si>
  <si>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</si>
  <si>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</si>
  <si>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</si>
  <si>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</si>
  <si>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</si>
  <si>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</si>
  <si>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</si>
  <si>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</si>
  <si>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</si>
  <si>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</si>
  <si>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</si>
  <si>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</si>
  <si>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</si>
  <si>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</si>
  <si>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</si>
  <si>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</si>
  <si>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</si>
  <si>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</si>
  <si>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</si>
  <si>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</si>
  <si>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</si>
  <si>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</si>
  <si>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</si>
  <si>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</si>
  <si>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</si>
  <si>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</si>
  <si>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</si>
  <si>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</si>
  <si>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</si>
  <si>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</si>
  <si>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</si>
  <si>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</si>
  <si>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</si>
  <si>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</si>
  <si>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</si>
  <si>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</si>
  <si>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</si>
  <si>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</si>
  <si>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</si>
  <si>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</si>
  <si>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</si>
  <si>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</si>
  <si>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</si>
  <si>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</si>
  <si>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</si>
  <si>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</si>
  <si>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</si>
  <si>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</si>
  <si>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</si>
  <si>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</si>
  <si>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</si>
  <si>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</si>
  <si>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</si>
  <si>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</si>
  <si>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</si>
  <si>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</si>
  <si>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</si>
  <si>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</si>
  <si>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</si>
  <si>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</si>
  <si>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</si>
  <si>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</si>
  <si>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</si>
  <si>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</si>
  <si>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</si>
  <si>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</si>
  <si>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</si>
  <si>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</si>
  <si>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</si>
  <si>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</si>
  <si>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</si>
  <si>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</si>
  <si>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</si>
  <si>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</si>
  <si>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</si>
  <si>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</si>
  <si>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</si>
  <si>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</si>
  <si>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</si>
  <si>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</si>
  <si>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</si>
  <si>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</si>
  <si>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</si>
  <si>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</si>
  <si>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</si>
  <si>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</si>
  <si>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</si>
  <si>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</si>
  <si>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</si>
  <si>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</si>
  <si>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</si>
  <si>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</si>
  <si>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</si>
  <si>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</si>
  <si>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</si>
  <si>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</si>
  <si>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</si>
  <si>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</si>
  <si>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</si>
  <si>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</si>
  <si>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</si>
  <si>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</si>
  <si>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</si>
  <si>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</si>
  <si>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</si>
  <si>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</si>
  <si>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</si>
  <si>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</si>
  <si>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</si>
  <si>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</si>
  <si>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</si>
  <si>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</si>
  <si>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</si>
  <si>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</si>
  <si>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</si>
  <si>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</si>
  <si>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</si>
  <si>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</si>
  <si>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</si>
  <si>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</si>
  <si>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</si>
  <si>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</si>
  <si>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</si>
  <si>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</si>
  <si>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</si>
  <si>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</si>
  <si>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</si>
  <si>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</si>
  <si>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</si>
  <si>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</si>
  <si>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</si>
  <si>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</si>
  <si>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</si>
  <si>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</si>
  <si>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</si>
  <si>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</si>
  <si>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</si>
  <si>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</si>
  <si>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</si>
  <si>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</si>
  <si>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</si>
  <si>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</si>
  <si>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</si>
  <si>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</si>
  <si>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</si>
  <si>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</si>
  <si>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</si>
  <si>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</si>
  <si>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</si>
  <si>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</si>
  <si>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</si>
  <si>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</si>
  <si>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</si>
  <si>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</si>
  <si>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</si>
  <si>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</si>
  <si>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</si>
  <si>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</si>
  <si>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</si>
  <si>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</si>
  <si>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</si>
  <si>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</si>
  <si>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</si>
  <si>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</si>
  <si>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</si>
  <si>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</si>
  <si>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</si>
  <si>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</si>
  <si>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</si>
  <si>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</si>
  <si>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</si>
  <si>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</si>
  <si>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</si>
  <si>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</si>
  <si>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</si>
  <si>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</si>
  <si>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</si>
  <si>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</si>
  <si>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</si>
  <si>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</si>
  <si>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</si>
  <si>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</si>
  <si>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</si>
  <si>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</si>
  <si>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</si>
  <si>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</si>
  <si>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</si>
  <si>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</si>
  <si>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</si>
  <si>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</si>
  <si>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</si>
  <si>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</si>
  <si>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</si>
  <si>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</si>
  <si>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</si>
  <si>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</si>
  <si>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NMS 2</t>
  </si>
  <si>
    <t>Residential Net Metering Rate NMS 2</t>
  </si>
  <si>
    <t xml:space="preserve">Residential Net Metering </t>
  </si>
  <si>
    <t>Residential Net Metering Rate NMS2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</si>
</sst>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1246</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1247</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1248</v>
      </c>
      <c r="F15" s="476"/>
      <c r="G15" s="476"/>
      <c r="H15" s="476"/>
      <c r="I15" s="476"/>
      <c r="J15" s="476"/>
      <c r="K15" s="476"/>
      <c r="L15" s="476"/>
      <c r="M15" s="481"/>
      <c r="N15" s="476"/>
      <c r="O15" s="476"/>
      <c r="P15" s="476"/>
      <c r="Q15" s="476"/>
      <c r="R15" s="476"/>
      <c r="S15" s="476"/>
      <c r="T15" s="476"/>
    </row>
    <row r="16" spans="1:173 16383:16383" x14ac:dyDescent="0.45">
      <c r="B16" s="484" t="s">
        <v>2222</v>
      </c>
      <c r="C16" s="476"/>
      <c r="D16" s="476"/>
      <c r="E16" s="476"/>
      <c r="F16" s="476"/>
      <c r="G16" s="476"/>
      <c r="H16" s="476"/>
      <c r="I16" s="476"/>
      <c r="J16" s="476"/>
      <c r="K16" s="476"/>
      <c r="L16" s="476"/>
      <c r="M16" s="476"/>
      <c r="N16" s="476"/>
      <c r="O16" s="476"/>
      <c r="P16" s="476"/>
      <c r="Q16" s="476"/>
      <c r="R16" s="476"/>
      <c r="S16" s="476"/>
      <c r="T16" s="476"/>
    </row>
    <row r="17" spans="1:27" x14ac:dyDescent="0.45">
      <c r="B17" s="484" t="s">
        <v>1848</v>
      </c>
      <c r="C17" s="476"/>
      <c r="D17" s="479"/>
      <c r="E17" s="487" t="s">
        <v>2496</v>
      </c>
      <c r="F17" s="476"/>
      <c r="G17" s="476"/>
      <c r="H17" s="476"/>
      <c r="I17" s="476"/>
      <c r="J17" s="476"/>
      <c r="K17" s="476"/>
      <c r="L17" s="476"/>
      <c r="M17" s="481"/>
      <c r="N17" s="476"/>
      <c r="O17" s="476"/>
      <c r="P17" s="476"/>
      <c r="Q17" s="476"/>
      <c r="R17" s="476"/>
      <c r="S17" s="476"/>
      <c r="T17" s="476"/>
    </row>
    <row r="19" spans="1:27" x14ac:dyDescent="0.45">
      <c r="B19" s="476"/>
      <c r="C19" s="476"/>
      <c r="D19" s="480" t="s">
        <v>1249</v>
      </c>
      <c r="E19" s="476"/>
      <c r="F19" s="480" t="s">
        <v>1250</v>
      </c>
      <c r="G19" s="476"/>
      <c r="H19" s="480" t="s">
        <v>1251</v>
      </c>
      <c r="I19" s="480"/>
      <c r="J19" s="476"/>
      <c r="K19" s="476"/>
      <c r="L19" s="480" t="s">
        <v>2497</v>
      </c>
      <c r="M19" s="476"/>
      <c r="N19" s="476"/>
      <c r="O19" s="476"/>
      <c r="P19" s="476"/>
      <c r="Q19" s="490" t="s">
        <v>2498</v>
      </c>
      <c r="R19" s="476"/>
      <c r="S19" s="476"/>
      <c r="T19" s="485" t="s">
        <v>1252</v>
      </c>
      <c r="U19" s="320"/>
      <c r="V19" s="320"/>
      <c r="W19" s="320"/>
      <c r="X19" s="320"/>
      <c r="Y19" s="320"/>
    </row>
    <row r="20" spans="1:27" x14ac:dyDescent="0.45">
      <c r="B20" s="476"/>
      <c r="C20" s="476"/>
      <c r="D20" s="480" t="s">
        <v>1250</v>
      </c>
      <c r="E20" s="476"/>
      <c r="F20" s="480" t="s">
        <v>1253</v>
      </c>
      <c r="G20" s="476"/>
      <c r="H20" s="480" t="s">
        <v>1253</v>
      </c>
      <c r="I20" s="480" t="s">
        <v>2564</v>
      </c>
      <c r="J20" s="476"/>
      <c r="K20" s="476"/>
      <c r="L20" s="480" t="s">
        <v>2499</v>
      </c>
      <c r="M20" s="480"/>
      <c r="N20" s="480" t="s">
        <v>1254</v>
      </c>
      <c r="O20" s="476"/>
      <c r="P20" s="476"/>
      <c r="Q20" s="490" t="s">
        <v>2499</v>
      </c>
      <c r="R20" s="476"/>
      <c r="S20" s="476"/>
      <c r="T20" s="485" t="s">
        <v>1249</v>
      </c>
      <c r="U20" s="320"/>
      <c r="V20" s="320"/>
      <c r="W20" s="320"/>
      <c r="X20" s="320"/>
      <c r="Y20" s="320"/>
    </row>
    <row r="21" spans="1:27" x14ac:dyDescent="0.45">
      <c r="B21" s="476"/>
      <c r="C21" s="477" t="s">
        <v>1255</v>
      </c>
      <c r="D21" s="480" t="s">
        <v>1256</v>
      </c>
      <c r="E21" s="476"/>
      <c r="F21" s="480" t="s">
        <v>1257</v>
      </c>
      <c r="G21" s="476"/>
      <c r="H21" s="480" t="s">
        <v>1257</v>
      </c>
      <c r="I21" s="480" t="s">
        <v>1257</v>
      </c>
      <c r="J21" s="476"/>
      <c r="K21" s="476"/>
      <c r="L21" s="480" t="s">
        <v>2500</v>
      </c>
      <c r="M21" s="480"/>
      <c r="N21" s="480" t="s">
        <v>1257</v>
      </c>
      <c r="O21" s="480" t="s">
        <v>1258</v>
      </c>
      <c r="P21" s="480" t="s">
        <v>1259</v>
      </c>
      <c r="Q21" s="488" t="s">
        <v>2500</v>
      </c>
      <c r="R21" s="476"/>
      <c r="S21" s="476"/>
      <c r="T21" s="485" t="s">
        <v>1250</v>
      </c>
      <c r="U21" s="320"/>
      <c r="V21" s="320"/>
      <c r="W21" s="320"/>
      <c r="X21" s="320"/>
      <c r="Y21" s="320"/>
    </row>
    <row r="22" spans="1:27" x14ac:dyDescent="0.45">
      <c r="B22" s="476"/>
      <c r="C22" s="476"/>
      <c r="D22" s="489">
        <v>-1</v>
      </c>
      <c r="E22" s="476"/>
      <c r="F22" s="480" t="s">
        <v>1260</v>
      </c>
      <c r="G22" s="476"/>
      <c r="H22" s="480">
        <v>-3</v>
      </c>
      <c r="I22" s="480"/>
      <c r="J22" s="476"/>
      <c r="K22" s="476"/>
      <c r="L22" s="480"/>
      <c r="M22" s="480"/>
      <c r="N22" s="480">
        <v>-4</v>
      </c>
      <c r="O22" s="480">
        <v>-5</v>
      </c>
      <c r="P22" s="480">
        <v>-6</v>
      </c>
      <c r="Q22" s="488"/>
      <c r="R22" s="476"/>
      <c r="S22" s="476"/>
      <c r="T22" s="485" t="s">
        <v>1256</v>
      </c>
      <c r="U22" s="320"/>
      <c r="V22" s="320"/>
      <c r="W22" s="320"/>
      <c r="X22" s="320"/>
      <c r="Y22" s="320"/>
      <c r="Z22" s="320"/>
      <c r="AA22" s="320"/>
    </row>
    <row r="23" spans="1:27" x14ac:dyDescent="0.45">
      <c r="B23" s="485" t="s">
        <v>1265</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1266</v>
      </c>
      <c r="D25" s="314"/>
      <c r="E25" s="45"/>
      <c r="F25" s="314"/>
      <c r="G25" s="45"/>
      <c r="H25" s="314"/>
      <c r="I25" s="45"/>
      <c r="J25" s="314"/>
      <c r="K25" s="314"/>
      <c r="L25" s="45"/>
      <c r="M25" s="314"/>
      <c r="N25" s="314"/>
      <c r="O25" s="45"/>
      <c r="P25" s="45"/>
      <c r="Q25" s="45"/>
    </row>
    <row r="26" spans="1:27" x14ac:dyDescent="0.45">
      <c r="B26" s="319" t="s">
        <v>1267</v>
      </c>
      <c r="D26" s="45"/>
      <c r="E26" s="45"/>
      <c r="F26" s="45"/>
      <c r="G26" s="45"/>
      <c r="H26" s="45"/>
      <c r="I26" s="45"/>
      <c r="J26" s="45"/>
      <c r="K26" s="45"/>
      <c r="L26" s="45"/>
      <c r="M26" s="45"/>
      <c r="N26" s="45"/>
      <c r="O26" s="45"/>
      <c r="P26" s="45"/>
      <c r="Q26" s="45"/>
    </row>
    <row r="27" spans="1:27" x14ac:dyDescent="0.45">
      <c r="B27" s="327" t="s">
        <v>1268</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1269</v>
      </c>
      <c r="C28" s="423" t="s">
        <v>1270</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1271</v>
      </c>
      <c r="C29" s="425" t="s">
        <v>1272</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1273</v>
      </c>
      <c r="C30" s="425" t="s">
        <v>1274</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1275</v>
      </c>
      <c r="C31" s="425" t="s">
        <v>1276</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1277</v>
      </c>
      <c r="C32" s="425" t="s">
        <v>1278</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1279</v>
      </c>
      <c r="C33" s="425" t="s">
        <v>1280</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1281</v>
      </c>
      <c r="C34" s="45"/>
      <c r="D34" s="50"/>
      <c r="E34" s="50"/>
      <c r="F34" s="50"/>
      <c r="G34" s="50"/>
      <c r="H34" s="50"/>
      <c r="I34" s="50"/>
      <c r="J34" s="50"/>
      <c r="K34" s="50"/>
      <c r="L34" s="50"/>
      <c r="M34" s="50"/>
      <c r="N34" s="50"/>
      <c r="O34" s="50"/>
      <c r="P34" s="50"/>
      <c r="Q34" s="45"/>
    </row>
    <row r="35" spans="1:20" x14ac:dyDescent="0.45">
      <c r="A35" s="313">
        <v>7</v>
      </c>
      <c r="B35" s="424" t="s">
        <v>1282</v>
      </c>
      <c r="C35" s="425" t="s">
        <v>1283</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1284</v>
      </c>
      <c r="C36" s="425" t="s">
        <v>1285</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1849</v>
      </c>
      <c r="C37" s="428" t="s">
        <v>1850</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1286</v>
      </c>
      <c r="C38" s="425" t="s">
        <v>1287</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2132</v>
      </c>
      <c r="C39" s="428" t="s">
        <v>2133</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1288</v>
      </c>
      <c r="C41" s="45"/>
      <c r="D41" s="45"/>
      <c r="E41" s="45"/>
      <c r="F41" s="45"/>
      <c r="G41" s="45"/>
      <c r="H41" s="45"/>
      <c r="I41" s="45"/>
      <c r="J41" s="45"/>
      <c r="K41" s="45"/>
      <c r="L41" s="45"/>
      <c r="M41" s="45"/>
      <c r="N41" s="45"/>
      <c r="O41" s="45"/>
      <c r="P41" s="45"/>
      <c r="Q41" s="45"/>
    </row>
    <row r="42" spans="1:20" x14ac:dyDescent="0.45">
      <c r="A42" s="311">
        <v>12</v>
      </c>
      <c r="B42" s="316" t="s">
        <v>1851</v>
      </c>
      <c r="C42" s="429" t="s">
        <v>1852</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1853</v>
      </c>
      <c r="C43" s="429" t="s">
        <v>1854</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1855</v>
      </c>
      <c r="C44" s="429" t="s">
        <v>1856</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1857</v>
      </c>
      <c r="C45" s="429" t="s">
        <v>1858</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1859</v>
      </c>
      <c r="C46" s="429" t="s">
        <v>1860</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1861</v>
      </c>
      <c r="C47" s="429" t="s">
        <v>1862</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1863</v>
      </c>
      <c r="C48" s="429" t="s">
        <v>1864</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1865</v>
      </c>
      <c r="C49" s="429" t="s">
        <v>1364</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1866</v>
      </c>
      <c r="C50" s="429" t="s">
        <v>1786</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1867</v>
      </c>
      <c r="C51" s="429" t="s">
        <v>1868</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1869</v>
      </c>
      <c r="C52" s="429" t="s">
        <v>1870</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1871</v>
      </c>
      <c r="C53" s="429" t="s">
        <v>1872</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2189</v>
      </c>
      <c r="C54" s="423" t="s">
        <v>2190</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1873</v>
      </c>
      <c r="C55" s="429" t="s">
        <v>1874</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1875</v>
      </c>
      <c r="C56" s="429" t="s">
        <v>1876</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1877</v>
      </c>
      <c r="C57" s="429" t="s">
        <v>1878</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1879</v>
      </c>
      <c r="C58" s="423" t="s">
        <v>1365</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1880</v>
      </c>
      <c r="C59" s="429" t="s">
        <v>1881</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1882</v>
      </c>
      <c r="C60" s="429" t="s">
        <v>1883</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1884</v>
      </c>
      <c r="C61" s="429" t="s">
        <v>1885</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1886</v>
      </c>
      <c r="C62" s="429" t="s">
        <v>1887</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1888</v>
      </c>
      <c r="C63" s="429" t="s">
        <v>1889</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1890</v>
      </c>
      <c r="C64" s="429" t="s">
        <v>1891</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1892</v>
      </c>
      <c r="C65" s="429" t="s">
        <v>1893</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1894</v>
      </c>
      <c r="C66" s="429" t="s">
        <v>1895</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1896</v>
      </c>
      <c r="C67" s="429" t="s">
        <v>1897</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1366</v>
      </c>
      <c r="C68" s="423" t="s">
        <v>1367</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1368</v>
      </c>
      <c r="C69" s="423" t="s">
        <v>1369</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2191</v>
      </c>
      <c r="C70" s="423" t="s">
        <v>1370</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2192</v>
      </c>
      <c r="C71" s="423" t="s">
        <v>1371</v>
      </c>
      <c r="D71" s="371">
        <v>0</v>
      </c>
      <c r="E71" s="71"/>
      <c r="F71" s="375">
        <v>0</v>
      </c>
      <c r="G71" s="375"/>
      <c r="H71" s="375">
        <v>0</v>
      </c>
      <c r="I71" s="371"/>
      <c r="J71" s="71">
        <v>0</v>
      </c>
      <c r="K71" s="71">
        <v>0</v>
      </c>
      <c r="L71" s="375">
        <v>0</v>
      </c>
      <c r="M71" s="375"/>
      <c r="N71" s="371"/>
      <c r="O71" s="375"/>
      <c r="P71" s="375"/>
      <c r="Q71" s="375" t="s">
        <v>2223</v>
      </c>
      <c r="R71" s="53" t="s">
        <v>1258</v>
      </c>
      <c r="S71" s="53" t="s">
        <v>1259</v>
      </c>
    </row>
    <row r="72" spans="1:22" x14ac:dyDescent="0.45">
      <c r="A72" s="311">
        <v>42</v>
      </c>
      <c r="B72" s="316" t="s">
        <v>1898</v>
      </c>
      <c r="C72" s="429" t="s">
        <v>1899</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1900</v>
      </c>
      <c r="C73" s="429" t="s">
        <v>1901</v>
      </c>
      <c r="D73" s="371">
        <v>32026</v>
      </c>
      <c r="E73" s="71"/>
      <c r="F73" s="374">
        <v>30874</v>
      </c>
      <c r="G73" s="375"/>
      <c r="H73" s="374">
        <v>1152</v>
      </c>
      <c r="I73" s="371"/>
      <c r="J73" s="71">
        <v>0</v>
      </c>
      <c r="K73" s="71">
        <v>0</v>
      </c>
      <c r="L73" s="375">
        <v>0</v>
      </c>
      <c r="M73" s="375"/>
      <c r="N73" s="371"/>
      <c r="O73" s="375"/>
      <c r="P73" s="375" t="s">
        <v>2278</v>
      </c>
      <c r="Q73" s="375">
        <v>222248</v>
      </c>
      <c r="R73" s="491">
        <v>222248</v>
      </c>
      <c r="S73" s="53">
        <v>0</v>
      </c>
      <c r="T73" s="53" t="s">
        <v>2224</v>
      </c>
      <c r="U73" s="318"/>
      <c r="V73" s="320"/>
    </row>
    <row r="74" spans="1:22" x14ac:dyDescent="0.45">
      <c r="A74" s="311">
        <v>44</v>
      </c>
      <c r="B74" s="316" t="s">
        <v>1902</v>
      </c>
      <c r="C74" s="429" t="s">
        <v>1903</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1904</v>
      </c>
      <c r="C75" s="429" t="s">
        <v>1905</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1906</v>
      </c>
      <c r="C76" s="429" t="s">
        <v>1907</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1908</v>
      </c>
      <c r="C77" s="429" t="s">
        <v>1909</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1372</v>
      </c>
      <c r="C78" s="423" t="s">
        <v>1373</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1374</v>
      </c>
      <c r="C79" s="423" t="s">
        <v>1375</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1376</v>
      </c>
      <c r="C80" s="423" t="s">
        <v>1377</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2501</v>
      </c>
      <c r="C81" s="312" t="s">
        <v>2502</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2527</v>
      </c>
      <c r="C82" s="312" t="s">
        <v>2528</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2503</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1378</v>
      </c>
      <c r="C89" s="309"/>
      <c r="D89" s="71"/>
      <c r="E89" s="71"/>
      <c r="F89" s="71"/>
      <c r="G89" s="71"/>
      <c r="H89" s="71"/>
      <c r="I89" s="71"/>
      <c r="J89" s="71"/>
      <c r="K89" s="71"/>
      <c r="L89" s="71"/>
      <c r="M89" s="71"/>
      <c r="N89" s="71"/>
      <c r="O89" s="71"/>
      <c r="P89" s="71"/>
      <c r="Q89" s="71"/>
    </row>
    <row r="90" spans="1:20" x14ac:dyDescent="0.45">
      <c r="B90" s="319" t="s">
        <v>1267</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1379</v>
      </c>
      <c r="C91" s="423" t="s">
        <v>1378</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1380</v>
      </c>
      <c r="C92" s="423" t="s">
        <v>1381</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1382</v>
      </c>
      <c r="C96" s="312"/>
      <c r="D96" s="50"/>
      <c r="E96" s="50"/>
      <c r="F96" s="50"/>
      <c r="G96" s="50"/>
      <c r="H96" s="50"/>
      <c r="I96" s="50"/>
      <c r="J96" s="50"/>
      <c r="K96" s="50"/>
      <c r="L96" s="50"/>
      <c r="M96" s="50"/>
      <c r="N96" s="50"/>
      <c r="O96" s="50"/>
      <c r="P96" s="50"/>
      <c r="Q96" s="50"/>
    </row>
    <row r="97" spans="1:17" x14ac:dyDescent="0.45">
      <c r="A97" s="45"/>
      <c r="B97" s="431" t="s">
        <v>1267</v>
      </c>
      <c r="C97" s="312"/>
      <c r="D97" s="50"/>
      <c r="E97" s="50"/>
      <c r="F97" s="50"/>
      <c r="G97" s="50"/>
      <c r="H97" s="50"/>
      <c r="I97" s="50"/>
      <c r="J97" s="50"/>
      <c r="K97" s="50"/>
      <c r="L97" s="50"/>
      <c r="M97" s="50"/>
      <c r="N97" s="50"/>
      <c r="O97" s="50"/>
      <c r="P97" s="348"/>
      <c r="Q97" s="50"/>
    </row>
    <row r="98" spans="1:17" x14ac:dyDescent="0.45">
      <c r="A98" s="311">
        <v>1</v>
      </c>
      <c r="B98" s="316" t="s">
        <v>1910</v>
      </c>
      <c r="C98" s="423" t="s">
        <v>1384</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1911</v>
      </c>
      <c r="C99" s="423" t="s">
        <v>1386</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1912</v>
      </c>
      <c r="C100" s="423" t="s">
        <v>1388</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1913</v>
      </c>
      <c r="C101" s="423" t="s">
        <v>1390</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1391</v>
      </c>
      <c r="C102" s="423" t="s">
        <v>1392</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1393</v>
      </c>
      <c r="C103" s="423" t="s">
        <v>1394</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1395</v>
      </c>
      <c r="C104" s="423" t="s">
        <v>1396</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1397</v>
      </c>
      <c r="C105" s="423" t="s">
        <v>1398</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1399</v>
      </c>
      <c r="C106" s="423" t="s">
        <v>1400</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1401</v>
      </c>
      <c r="C107" s="423" t="s">
        <v>1402</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1403</v>
      </c>
      <c r="C108" s="423" t="s">
        <v>1404</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1914</v>
      </c>
      <c r="C109" s="423" t="s">
        <v>1406</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1407</v>
      </c>
      <c r="C110" s="423" t="s">
        <v>1408</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1409</v>
      </c>
      <c r="C111" s="423" t="s">
        <v>1410</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1411</v>
      </c>
      <c r="C112" s="423" t="s">
        <v>1412</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1413</v>
      </c>
      <c r="C113" s="423" t="s">
        <v>1414</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1415</v>
      </c>
      <c r="C114" s="423" t="s">
        <v>1416</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1417</v>
      </c>
      <c r="C115" s="423" t="s">
        <v>1418</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1419</v>
      </c>
      <c r="C116" s="423" t="s">
        <v>1420</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1764</v>
      </c>
      <c r="C117" s="429" t="s">
        <v>1915</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1421</v>
      </c>
      <c r="C124" s="312"/>
      <c r="D124" s="50"/>
      <c r="E124" s="50"/>
      <c r="F124" s="50"/>
      <c r="G124" s="50"/>
      <c r="H124" s="50"/>
      <c r="I124" s="50"/>
      <c r="J124" s="50"/>
      <c r="K124" s="50"/>
      <c r="L124" s="50"/>
      <c r="M124" s="50"/>
      <c r="N124" s="50"/>
      <c r="O124" s="50"/>
      <c r="P124" s="50"/>
      <c r="Q124" s="50"/>
    </row>
    <row r="125" spans="1:17" x14ac:dyDescent="0.45">
      <c r="A125" s="45"/>
      <c r="B125" s="431" t="s">
        <v>1267</v>
      </c>
      <c r="C125" s="312"/>
      <c r="D125" s="50"/>
      <c r="E125" s="50"/>
      <c r="F125" s="50"/>
      <c r="G125" s="50"/>
      <c r="H125" s="50"/>
      <c r="I125" s="50"/>
      <c r="J125" s="50"/>
      <c r="K125" s="50"/>
      <c r="L125" s="50"/>
      <c r="M125" s="50"/>
      <c r="N125" s="50"/>
      <c r="O125" s="50"/>
      <c r="P125" s="50"/>
      <c r="Q125" s="50"/>
    </row>
    <row r="126" spans="1:17" x14ac:dyDescent="0.45">
      <c r="A126" s="313">
        <v>1</v>
      </c>
      <c r="B126" s="424" t="s">
        <v>1422</v>
      </c>
      <c r="C126" s="425" t="s">
        <v>1423</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1424</v>
      </c>
      <c r="C127" s="425" t="s">
        <v>1425</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1426</v>
      </c>
      <c r="C128" s="425" t="s">
        <v>1427</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1428</v>
      </c>
      <c r="C129" s="425" t="s">
        <v>1429</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1430</v>
      </c>
      <c r="C130" s="428" t="s">
        <v>1431</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1432</v>
      </c>
      <c r="C131" s="425" t="s">
        <v>1433</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1434</v>
      </c>
      <c r="C132" s="425" t="s">
        <v>1435</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1436</v>
      </c>
      <c r="C133" s="425" t="s">
        <v>1437</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1438</v>
      </c>
      <c r="C134" s="425" t="s">
        <v>1439</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1440</v>
      </c>
      <c r="C135" s="425" t="s">
        <v>1441</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1442</v>
      </c>
      <c r="C136" s="425" t="s">
        <v>1443</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1444</v>
      </c>
      <c r="C137" s="425" t="s">
        <v>1445</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1446</v>
      </c>
      <c r="C138" s="425" t="s">
        <v>1447</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1448</v>
      </c>
      <c r="C139" s="428" t="s">
        <v>1916</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1917</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912</v>
      </c>
      <c r="C142" s="425" t="s">
        <v>913</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914</v>
      </c>
      <c r="C143" s="425" t="s">
        <v>915</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2134</v>
      </c>
      <c r="C144" s="425" t="s">
        <v>2135</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916</v>
      </c>
      <c r="C145" s="428" t="s">
        <v>917</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918</v>
      </c>
      <c r="C146" s="428" t="s">
        <v>1918</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919</v>
      </c>
      <c r="C147" s="429" t="s">
        <v>1919</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920</v>
      </c>
      <c r="C148" s="425" t="s">
        <v>2477</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921</v>
      </c>
      <c r="C149" s="425" t="s">
        <v>922</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923</v>
      </c>
      <c r="C150" s="425" t="s">
        <v>1762</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924</v>
      </c>
      <c r="C151" s="425" t="s">
        <v>1763</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925</v>
      </c>
      <c r="C152" s="425" t="s">
        <v>926</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1344</v>
      </c>
      <c r="C153" s="425" t="s">
        <v>1345</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1346</v>
      </c>
      <c r="C154" s="428" t="s">
        <v>1920</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1347</v>
      </c>
      <c r="C155" s="425" t="s">
        <v>1348</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1349</v>
      </c>
      <c r="C156" s="425" t="s">
        <v>1350</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1351</v>
      </c>
      <c r="C157" s="425" t="s">
        <v>1352</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1353</v>
      </c>
      <c r="C158" s="425" t="s">
        <v>1354</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1355</v>
      </c>
      <c r="C159" s="425" t="s">
        <v>1356</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1357</v>
      </c>
      <c r="C160" s="425" t="s">
        <v>1358</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1359</v>
      </c>
      <c r="C161" s="425" t="s">
        <v>1360</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858</v>
      </c>
      <c r="C162" s="428" t="s">
        <v>1921</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859</v>
      </c>
      <c r="C163" s="428" t="s">
        <v>1922</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860</v>
      </c>
      <c r="C164" s="428" t="s">
        <v>1923</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861</v>
      </c>
      <c r="C165" s="428" t="s">
        <v>1924</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862</v>
      </c>
      <c r="C166" s="428" t="s">
        <v>1925</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863</v>
      </c>
      <c r="C167" s="428" t="s">
        <v>1926</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864</v>
      </c>
      <c r="C168" s="428" t="s">
        <v>1927</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865</v>
      </c>
      <c r="C169" s="428" t="s">
        <v>1928</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866</v>
      </c>
      <c r="C170" s="425" t="s">
        <v>867</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868</v>
      </c>
      <c r="C172" s="312"/>
      <c r="D172" s="45"/>
      <c r="E172" s="45"/>
      <c r="F172" s="45"/>
      <c r="G172" s="45"/>
      <c r="H172" s="45"/>
      <c r="I172" s="45"/>
      <c r="J172" s="45"/>
      <c r="K172" s="45"/>
      <c r="L172" s="45"/>
      <c r="M172" s="45"/>
      <c r="N172" s="45"/>
      <c r="O172" s="45"/>
      <c r="P172" s="45"/>
      <c r="Q172" s="45"/>
    </row>
    <row r="173" spans="1:17" x14ac:dyDescent="0.45">
      <c r="A173" s="45"/>
      <c r="B173" s="431" t="s">
        <v>1267</v>
      </c>
      <c r="C173" s="312"/>
      <c r="D173" s="45"/>
      <c r="E173" s="45"/>
      <c r="F173" s="45"/>
      <c r="G173" s="45"/>
      <c r="H173" s="45"/>
      <c r="I173" s="45"/>
      <c r="J173" s="45"/>
      <c r="K173" s="45"/>
      <c r="L173" s="45"/>
      <c r="M173" s="45"/>
      <c r="N173" s="45"/>
      <c r="O173" s="45"/>
      <c r="P173" s="45"/>
      <c r="Q173" s="45"/>
    </row>
    <row r="174" spans="1:17" x14ac:dyDescent="0.45">
      <c r="A174" s="313">
        <v>1</v>
      </c>
      <c r="B174" s="424" t="s">
        <v>869</v>
      </c>
      <c r="C174" s="428" t="s">
        <v>1929</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870</v>
      </c>
      <c r="C175" s="425" t="s">
        <v>871</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872</v>
      </c>
      <c r="C176" s="423" t="s">
        <v>873</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874</v>
      </c>
      <c r="C177" s="423" t="s">
        <v>875</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876</v>
      </c>
      <c r="C178" s="423" t="s">
        <v>877</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878</v>
      </c>
      <c r="C179" s="423" t="s">
        <v>879</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927</v>
      </c>
      <c r="C180" s="425" t="s">
        <v>928</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519</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2136</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1930</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1931</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1932</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1933</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1934</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1935</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510</v>
      </c>
      <c r="C198" s="425" t="s">
        <v>511</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512</v>
      </c>
      <c r="C199" s="428" t="s">
        <v>1936</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513</v>
      </c>
      <c r="C200" s="428" t="s">
        <v>1937</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514</v>
      </c>
      <c r="C201" s="425" t="s">
        <v>515</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516</v>
      </c>
      <c r="C202" s="425" t="s">
        <v>517</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518</v>
      </c>
      <c r="C203" s="428" t="s">
        <v>1938</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529</v>
      </c>
      <c r="C204" s="428" t="s">
        <v>1939</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530</v>
      </c>
      <c r="C205" s="425" t="s">
        <v>531</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532</v>
      </c>
      <c r="C206" s="425" t="s">
        <v>533</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534</v>
      </c>
      <c r="C207" s="428" t="s">
        <v>1940</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535</v>
      </c>
      <c r="C208" s="425" t="s">
        <v>536</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537</v>
      </c>
      <c r="C209" s="428" t="s">
        <v>1941</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538</v>
      </c>
      <c r="C210" s="425" t="s">
        <v>539</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540</v>
      </c>
      <c r="C211" s="428" t="s">
        <v>1942</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541</v>
      </c>
      <c r="C212" s="425" t="s">
        <v>542</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543</v>
      </c>
      <c r="C213" s="425" t="s">
        <v>544</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868</v>
      </c>
      <c r="C215" s="45"/>
      <c r="D215" s="50"/>
      <c r="E215" s="50"/>
      <c r="F215" s="50"/>
      <c r="G215" s="50"/>
      <c r="H215" s="50"/>
      <c r="I215" s="50"/>
      <c r="J215" s="50"/>
      <c r="K215" s="50"/>
      <c r="L215" s="50"/>
      <c r="M215" s="50"/>
      <c r="N215" s="50"/>
      <c r="O215" s="50"/>
      <c r="P215" s="50"/>
      <c r="Q215" s="50"/>
    </row>
    <row r="216" spans="1:17" x14ac:dyDescent="0.45">
      <c r="A216" s="45"/>
      <c r="B216" s="431" t="s">
        <v>1267</v>
      </c>
      <c r="C216" s="45"/>
      <c r="D216" s="50"/>
      <c r="E216" s="50"/>
      <c r="F216" s="50"/>
      <c r="G216" s="50"/>
      <c r="H216" s="50"/>
      <c r="I216" s="50"/>
      <c r="J216" s="50"/>
      <c r="K216" s="50"/>
      <c r="L216" s="50"/>
      <c r="M216" s="50"/>
      <c r="N216" s="50"/>
      <c r="O216" s="50"/>
      <c r="P216" s="50"/>
      <c r="Q216" s="50"/>
    </row>
    <row r="217" spans="1:17" x14ac:dyDescent="0.45">
      <c r="A217" s="313">
        <v>1</v>
      </c>
      <c r="B217" s="424" t="s">
        <v>2193</v>
      </c>
      <c r="C217" s="425" t="s">
        <v>546</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547</v>
      </c>
      <c r="C218" s="425" t="s">
        <v>548</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938</v>
      </c>
      <c r="C219" s="425" t="s">
        <v>939</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940</v>
      </c>
      <c r="C220" s="425" t="s">
        <v>941</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942</v>
      </c>
      <c r="C221" s="425" t="s">
        <v>943</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944</v>
      </c>
      <c r="C222" s="425" t="s">
        <v>945</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946</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2137</v>
      </c>
      <c r="C224" s="425" t="s">
        <v>2138</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2139</v>
      </c>
      <c r="C225" s="425" t="s">
        <v>2140</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2141</v>
      </c>
      <c r="C226" s="425" t="s">
        <v>2142</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1267</v>
      </c>
      <c r="C259" s="312"/>
      <c r="D259" s="50"/>
      <c r="E259" s="50"/>
      <c r="F259" s="50"/>
      <c r="G259" s="50"/>
      <c r="H259" s="50"/>
      <c r="I259" s="50"/>
      <c r="J259" s="50"/>
      <c r="K259" s="50"/>
      <c r="L259" s="50"/>
      <c r="M259" s="50"/>
      <c r="N259" s="50"/>
      <c r="O259" s="50"/>
      <c r="P259" s="50"/>
      <c r="Q259" s="50"/>
    </row>
    <row r="260" spans="1:21" x14ac:dyDescent="0.45">
      <c r="A260" s="311">
        <v>1</v>
      </c>
      <c r="B260" s="316" t="s">
        <v>1943</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2143</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1944</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1945</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1946</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1947</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1948</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1949</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1950</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1951</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1267</v>
      </c>
      <c r="C281" s="312"/>
      <c r="D281" s="45"/>
      <c r="E281" s="45"/>
      <c r="F281" s="45"/>
      <c r="G281" s="45"/>
      <c r="H281" s="45"/>
      <c r="I281" s="45"/>
      <c r="J281" s="45"/>
      <c r="K281" s="45"/>
      <c r="L281" s="45"/>
      <c r="M281" s="45"/>
      <c r="N281" s="45"/>
      <c r="O281" s="45"/>
      <c r="P281" s="45"/>
      <c r="Q281" s="45"/>
    </row>
    <row r="282" spans="1:17" x14ac:dyDescent="0.45">
      <c r="A282" s="45"/>
      <c r="B282" s="426" t="s">
        <v>1268</v>
      </c>
      <c r="C282" s="45"/>
      <c r="D282" s="45"/>
      <c r="E282" s="45"/>
      <c r="F282" s="45"/>
      <c r="G282" s="45"/>
      <c r="H282" s="45"/>
      <c r="I282" s="45"/>
      <c r="J282" s="45"/>
      <c r="K282" s="45"/>
      <c r="L282" s="45"/>
      <c r="M282" s="45"/>
      <c r="N282" s="45"/>
      <c r="O282" s="45"/>
      <c r="P282" s="45"/>
      <c r="Q282" s="45"/>
    </row>
    <row r="283" spans="1:17" x14ac:dyDescent="0.45">
      <c r="A283" s="313">
        <v>1</v>
      </c>
      <c r="B283" s="424" t="s">
        <v>1269</v>
      </c>
      <c r="C283" s="425" t="s">
        <v>1270</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1271</v>
      </c>
      <c r="C284" s="425" t="s">
        <v>1272</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1273</v>
      </c>
      <c r="C285" s="425" t="s">
        <v>1274</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1275</v>
      </c>
      <c r="C286" s="425" t="s">
        <v>1276</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1277</v>
      </c>
      <c r="C287" s="425" t="s">
        <v>1278</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1279</v>
      </c>
      <c r="C288" s="425" t="s">
        <v>1280</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1281</v>
      </c>
      <c r="C289" s="45"/>
      <c r="D289" s="45"/>
      <c r="E289" s="45"/>
      <c r="F289" s="45"/>
      <c r="G289" s="45"/>
      <c r="H289" s="45"/>
      <c r="I289" s="45"/>
      <c r="J289" s="45"/>
      <c r="K289" s="45"/>
      <c r="L289" s="45"/>
      <c r="M289" s="45"/>
      <c r="N289" s="45"/>
      <c r="O289" s="45"/>
      <c r="P289" s="45"/>
      <c r="Q289" s="45"/>
    </row>
    <row r="290" spans="1:17" x14ac:dyDescent="0.45">
      <c r="A290" s="313">
        <v>7</v>
      </c>
      <c r="B290" s="424" t="s">
        <v>1282</v>
      </c>
      <c r="C290" s="425" t="s">
        <v>1283</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1284</v>
      </c>
      <c r="C291" s="425" t="s">
        <v>1285</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1849</v>
      </c>
      <c r="C292" s="428" t="s">
        <v>1850</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1286</v>
      </c>
      <c r="C293" s="425" t="s">
        <v>1287</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2132</v>
      </c>
      <c r="C294" s="428" t="s">
        <v>2133</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1288</v>
      </c>
      <c r="C296" s="45"/>
      <c r="D296" s="45"/>
      <c r="E296" s="45"/>
      <c r="F296" s="45"/>
      <c r="G296" s="45"/>
      <c r="H296" s="45"/>
      <c r="I296" s="45"/>
      <c r="J296" s="45"/>
      <c r="K296" s="45"/>
      <c r="L296" s="45"/>
      <c r="M296" s="45"/>
      <c r="N296" s="45"/>
      <c r="O296" s="45"/>
      <c r="P296" s="45"/>
      <c r="Q296" s="45"/>
    </row>
    <row r="297" spans="1:17" x14ac:dyDescent="0.45">
      <c r="A297" s="313">
        <v>12</v>
      </c>
      <c r="B297" s="424" t="s">
        <v>1851</v>
      </c>
      <c r="C297" s="425" t="s">
        <v>1852</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1853</v>
      </c>
      <c r="C298" s="425" t="s">
        <v>1854</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1855</v>
      </c>
      <c r="C299" s="425" t="s">
        <v>1856</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1857</v>
      </c>
      <c r="C300" s="425" t="s">
        <v>1858</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1859</v>
      </c>
      <c r="C301" s="425" t="s">
        <v>1860</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1861</v>
      </c>
      <c r="C302" s="425" t="s">
        <v>1862</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1863</v>
      </c>
      <c r="C303" s="425" t="s">
        <v>1864</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1865</v>
      </c>
      <c r="C304" s="425" t="s">
        <v>1364</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1866</v>
      </c>
      <c r="C305" s="428" t="s">
        <v>1786</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1867</v>
      </c>
      <c r="C306" s="425" t="s">
        <v>1868</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1869</v>
      </c>
      <c r="C307" s="425" t="s">
        <v>1870</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1871</v>
      </c>
      <c r="C308" s="425" t="s">
        <v>1872</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2189</v>
      </c>
      <c r="C309" s="423" t="s">
        <v>2190</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1873</v>
      </c>
      <c r="C310" s="425" t="s">
        <v>1874</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1875</v>
      </c>
      <c r="C311" s="425" t="s">
        <v>1876</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1877</v>
      </c>
      <c r="C312" s="425" t="s">
        <v>1878</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1879</v>
      </c>
      <c r="C313" s="425" t="s">
        <v>1365</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1880</v>
      </c>
      <c r="C314" s="425" t="s">
        <v>1881</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1882</v>
      </c>
      <c r="C315" s="425" t="s">
        <v>1883</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1884</v>
      </c>
      <c r="C316" s="425" t="s">
        <v>1885</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1886</v>
      </c>
      <c r="C317" s="425" t="s">
        <v>1887</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1888</v>
      </c>
      <c r="C318" s="425" t="s">
        <v>1889</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1890</v>
      </c>
      <c r="C319" s="425" t="s">
        <v>1891</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1892</v>
      </c>
      <c r="C320" s="425" t="s">
        <v>1893</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1894</v>
      </c>
      <c r="C321" s="425" t="s">
        <v>1895</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1896</v>
      </c>
      <c r="C322" s="425" t="s">
        <v>1897</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1367</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1369</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1370</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1450</v>
      </c>
      <c r="C326" s="425" t="s">
        <v>1371</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1898</v>
      </c>
      <c r="C327" s="428" t="s">
        <v>1899</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1900</v>
      </c>
      <c r="C328" s="428" t="s">
        <v>1901</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1902</v>
      </c>
      <c r="C329" s="428" t="s">
        <v>1903</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1952</v>
      </c>
      <c r="C330" s="429" t="s">
        <v>1905</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1953</v>
      </c>
      <c r="C331" s="429" t="s">
        <v>1907</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1954</v>
      </c>
      <c r="C332" s="429" t="s">
        <v>1909</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1372</v>
      </c>
      <c r="C333" s="425" t="s">
        <v>1373</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1374</v>
      </c>
      <c r="C334" s="425" t="s">
        <v>1375</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1376</v>
      </c>
      <c r="C335" s="425" t="s">
        <v>1377</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2501</v>
      </c>
      <c r="C336" s="425" t="s">
        <v>2502</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2529</v>
      </c>
      <c r="C337" s="425" t="s">
        <v>2528</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2503</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1378</v>
      </c>
      <c r="C345" s="312"/>
      <c r="D345" s="45"/>
      <c r="E345" s="45"/>
      <c r="F345" s="45"/>
      <c r="G345" s="45"/>
      <c r="H345" s="45"/>
      <c r="I345" s="45"/>
      <c r="J345" s="45"/>
      <c r="K345" s="45"/>
      <c r="L345" s="45"/>
      <c r="M345" s="45"/>
      <c r="N345" s="45"/>
      <c r="O345" s="45"/>
      <c r="P345" s="45"/>
      <c r="Q345" s="45"/>
    </row>
    <row r="346" spans="1:17" x14ac:dyDescent="0.45">
      <c r="A346" s="45"/>
      <c r="B346" s="431" t="s">
        <v>1267</v>
      </c>
      <c r="C346" s="312"/>
      <c r="D346" s="45"/>
      <c r="E346" s="45"/>
      <c r="F346" s="45"/>
      <c r="G346" s="45"/>
      <c r="H346" s="45"/>
      <c r="I346" s="45"/>
      <c r="J346" s="45"/>
      <c r="K346" s="45"/>
      <c r="L346" s="45"/>
      <c r="M346" s="45"/>
      <c r="N346" s="45"/>
      <c r="O346" s="45"/>
      <c r="P346" s="45"/>
      <c r="Q346" s="45"/>
    </row>
    <row r="347" spans="1:17" x14ac:dyDescent="0.45">
      <c r="A347" s="313">
        <v>1</v>
      </c>
      <c r="B347" s="424" t="s">
        <v>1379</v>
      </c>
      <c r="C347" s="425" t="s">
        <v>1378</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1380</v>
      </c>
      <c r="C348" s="425" t="s">
        <v>1381</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1382</v>
      </c>
      <c r="C352" s="312"/>
      <c r="D352" s="45"/>
      <c r="E352" s="45"/>
      <c r="F352" s="45"/>
      <c r="G352" s="45"/>
      <c r="H352" s="45"/>
      <c r="I352" s="45"/>
      <c r="J352" s="45"/>
      <c r="K352" s="45"/>
      <c r="L352" s="45"/>
      <c r="M352" s="45"/>
      <c r="N352" s="45"/>
      <c r="O352" s="45"/>
      <c r="P352" s="45"/>
      <c r="Q352" s="45"/>
    </row>
    <row r="353" spans="1:17" x14ac:dyDescent="0.45">
      <c r="A353" s="45"/>
      <c r="B353" s="431" t="s">
        <v>1267</v>
      </c>
      <c r="C353" s="312"/>
      <c r="D353" s="45"/>
      <c r="E353" s="45"/>
      <c r="F353" s="45"/>
      <c r="G353" s="45"/>
      <c r="H353" s="45"/>
      <c r="I353" s="45"/>
      <c r="J353" s="45"/>
      <c r="K353" s="45"/>
      <c r="L353" s="45"/>
      <c r="M353" s="45"/>
      <c r="N353" s="45"/>
      <c r="O353" s="45"/>
      <c r="P353" s="45"/>
      <c r="Q353" s="45"/>
    </row>
    <row r="354" spans="1:17" x14ac:dyDescent="0.45">
      <c r="A354" s="313">
        <v>1</v>
      </c>
      <c r="B354" s="424" t="s">
        <v>1383</v>
      </c>
      <c r="C354" s="425" t="s">
        <v>1384</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1385</v>
      </c>
      <c r="C355" s="425" t="s">
        <v>1386</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1387</v>
      </c>
      <c r="C356" s="425" t="s">
        <v>1388</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1389</v>
      </c>
      <c r="C357" s="425" t="s">
        <v>1390</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1391</v>
      </c>
      <c r="C358" s="425" t="s">
        <v>1392</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1393</v>
      </c>
      <c r="C359" s="425" t="s">
        <v>1394</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1395</v>
      </c>
      <c r="C360" s="425" t="s">
        <v>1396</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1397</v>
      </c>
      <c r="C361" s="425" t="s">
        <v>1398</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1399</v>
      </c>
      <c r="C362" s="425" t="s">
        <v>1400</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1401</v>
      </c>
      <c r="C363" s="425" t="s">
        <v>1402</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1403</v>
      </c>
      <c r="C364" s="425" t="s">
        <v>1404</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1405</v>
      </c>
      <c r="C365" s="425" t="s">
        <v>1406</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1407</v>
      </c>
      <c r="C366" s="425" t="s">
        <v>1408</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1409</v>
      </c>
      <c r="C367" s="425" t="s">
        <v>1410</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1411</v>
      </c>
      <c r="C368" s="425" t="s">
        <v>1412</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1413</v>
      </c>
      <c r="C369" s="425" t="s">
        <v>1414</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1415</v>
      </c>
      <c r="C370" s="425" t="s">
        <v>1416</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1417</v>
      </c>
      <c r="C371" s="425" t="s">
        <v>1418</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1419</v>
      </c>
      <c r="C372" s="425" t="s">
        <v>1420</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1765</v>
      </c>
      <c r="C373" s="428" t="s">
        <v>1915</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1421</v>
      </c>
      <c r="C380" s="312"/>
      <c r="D380" s="45"/>
      <c r="E380" s="45"/>
      <c r="F380" s="45"/>
      <c r="G380" s="45"/>
      <c r="H380" s="45"/>
      <c r="I380" s="45"/>
      <c r="J380" s="45"/>
      <c r="K380" s="45"/>
      <c r="L380" s="45"/>
      <c r="M380" s="45"/>
      <c r="N380" s="45"/>
      <c r="O380" s="45"/>
      <c r="P380" s="45"/>
      <c r="Q380" s="45"/>
    </row>
    <row r="381" spans="1:17" x14ac:dyDescent="0.45">
      <c r="A381" s="45"/>
      <c r="B381" s="431" t="s">
        <v>1267</v>
      </c>
      <c r="C381" s="312"/>
      <c r="D381" s="45"/>
      <c r="E381" s="45"/>
      <c r="F381" s="45"/>
      <c r="G381" s="45"/>
      <c r="H381" s="45"/>
      <c r="I381" s="45"/>
      <c r="J381" s="45"/>
      <c r="K381" s="45"/>
      <c r="L381" s="45"/>
      <c r="M381" s="45"/>
      <c r="N381" s="45"/>
      <c r="O381" s="45"/>
      <c r="P381" s="45"/>
      <c r="Q381" s="45"/>
    </row>
    <row r="382" spans="1:17" x14ac:dyDescent="0.45">
      <c r="A382" s="313">
        <v>1</v>
      </c>
      <c r="B382" s="424" t="s">
        <v>1422</v>
      </c>
      <c r="C382" s="425" t="s">
        <v>1423</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1424</v>
      </c>
      <c r="C383" s="425" t="s">
        <v>1425</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1426</v>
      </c>
      <c r="C384" s="425" t="s">
        <v>1427</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1426</v>
      </c>
      <c r="C385" s="428" t="s">
        <v>1431</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1428</v>
      </c>
      <c r="C386" s="425" t="s">
        <v>1429</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1432</v>
      </c>
      <c r="C387" s="425" t="s">
        <v>1433</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1434</v>
      </c>
      <c r="C388" s="425" t="s">
        <v>1435</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1436</v>
      </c>
      <c r="C389" s="425" t="s">
        <v>1437</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1438</v>
      </c>
      <c r="C390" s="425" t="s">
        <v>1439</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1440</v>
      </c>
      <c r="C391" s="425" t="s">
        <v>1441</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1442</v>
      </c>
      <c r="C392" s="425" t="s">
        <v>1443</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1444</v>
      </c>
      <c r="C393" s="425" t="s">
        <v>1445</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1446</v>
      </c>
      <c r="C394" s="425" t="s">
        <v>1447</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1448</v>
      </c>
      <c r="C395" s="428" t="s">
        <v>1916</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1917</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912</v>
      </c>
      <c r="C398" s="425" t="s">
        <v>913</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914</v>
      </c>
      <c r="C399" s="425" t="s">
        <v>915</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2134</v>
      </c>
      <c r="C400" s="425" t="s">
        <v>2135</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916</v>
      </c>
      <c r="C401" s="428" t="s">
        <v>917</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918</v>
      </c>
      <c r="C402" s="428" t="s">
        <v>1918</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919</v>
      </c>
      <c r="C403" s="428" t="s">
        <v>1919</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920</v>
      </c>
      <c r="C404" s="425" t="s">
        <v>2477</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921</v>
      </c>
      <c r="C405" s="425" t="s">
        <v>922</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923</v>
      </c>
      <c r="C406" s="425" t="s">
        <v>1762</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924</v>
      </c>
      <c r="C407" s="425" t="s">
        <v>1763</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925</v>
      </c>
      <c r="C408" s="425" t="s">
        <v>926</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1451</v>
      </c>
      <c r="C409" s="425" t="s">
        <v>1345</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1346</v>
      </c>
      <c r="C410" s="428" t="s">
        <v>1920</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1347</v>
      </c>
      <c r="C411" s="425" t="s">
        <v>1348</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1349</v>
      </c>
      <c r="C412" s="425" t="s">
        <v>1350</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1351</v>
      </c>
      <c r="C413" s="425" t="s">
        <v>1352</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1353</v>
      </c>
      <c r="C414" s="425" t="s">
        <v>1354</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1355</v>
      </c>
      <c r="C415" s="425" t="s">
        <v>1356</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1357</v>
      </c>
      <c r="C416" s="425" t="s">
        <v>1358</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1359</v>
      </c>
      <c r="C417" s="425" t="s">
        <v>1360</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858</v>
      </c>
      <c r="C418" s="428" t="s">
        <v>1921</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859</v>
      </c>
      <c r="C419" s="428" t="s">
        <v>1922</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860</v>
      </c>
      <c r="C420" s="428" t="s">
        <v>1923</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861</v>
      </c>
      <c r="C421" s="428" t="s">
        <v>1924</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862</v>
      </c>
      <c r="C422" s="428" t="s">
        <v>1925</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863</v>
      </c>
      <c r="C423" s="428" t="s">
        <v>1926</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864</v>
      </c>
      <c r="C424" s="428" t="s">
        <v>1927</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865</v>
      </c>
      <c r="C425" s="428" t="s">
        <v>1928</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866</v>
      </c>
      <c r="C426" s="425" t="s">
        <v>867</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868</v>
      </c>
      <c r="C428" s="312"/>
      <c r="D428" s="45"/>
      <c r="E428" s="45"/>
      <c r="F428" s="45"/>
      <c r="G428" s="45"/>
      <c r="H428" s="45"/>
      <c r="I428" s="45"/>
      <c r="J428" s="45"/>
      <c r="K428" s="45"/>
      <c r="L428" s="45"/>
      <c r="M428" s="45"/>
      <c r="N428" s="45"/>
      <c r="O428" s="45"/>
      <c r="P428" s="45"/>
      <c r="Q428" s="45"/>
    </row>
    <row r="429" spans="1:17" x14ac:dyDescent="0.45">
      <c r="A429" s="45"/>
      <c r="B429" s="431" t="s">
        <v>1267</v>
      </c>
      <c r="C429" s="312"/>
      <c r="D429" s="45"/>
      <c r="E429" s="45"/>
      <c r="F429" s="45"/>
      <c r="G429" s="45"/>
      <c r="H429" s="45"/>
      <c r="I429" s="45"/>
      <c r="J429" s="45"/>
      <c r="K429" s="45"/>
      <c r="L429" s="45"/>
      <c r="M429" s="45"/>
      <c r="N429" s="45"/>
      <c r="O429" s="45"/>
      <c r="P429" s="45"/>
      <c r="Q429" s="45"/>
    </row>
    <row r="430" spans="1:17" x14ac:dyDescent="0.45">
      <c r="A430" s="313">
        <v>1</v>
      </c>
      <c r="B430" s="424" t="s">
        <v>869</v>
      </c>
      <c r="C430" s="428" t="s">
        <v>1929</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870</v>
      </c>
      <c r="C431" s="425" t="s">
        <v>871</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872</v>
      </c>
      <c r="C432" s="425" t="s">
        <v>873</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874</v>
      </c>
      <c r="C433" s="425" t="s">
        <v>875</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876</v>
      </c>
      <c r="C434" s="425" t="s">
        <v>877</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878</v>
      </c>
      <c r="C435" s="425" t="s">
        <v>879</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927</v>
      </c>
      <c r="C436" s="425" t="s">
        <v>928</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519</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1452</v>
      </c>
      <c r="C442" s="425" t="s">
        <v>2136</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1930</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1931</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1932</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1933</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1934</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1935</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1453</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1454</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1455</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1456</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1457</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1458</v>
      </c>
      <c r="C454" s="425" t="s">
        <v>511</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512</v>
      </c>
      <c r="C455" s="428" t="s">
        <v>1936</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513</v>
      </c>
      <c r="C456" s="428" t="s">
        <v>1937</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514</v>
      </c>
      <c r="C457" s="425" t="s">
        <v>515</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516</v>
      </c>
      <c r="C458" s="425" t="s">
        <v>517</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518</v>
      </c>
      <c r="C459" s="428" t="s">
        <v>1938</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529</v>
      </c>
      <c r="C460" s="428" t="s">
        <v>1939</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530</v>
      </c>
      <c r="C461" s="425" t="s">
        <v>531</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532</v>
      </c>
      <c r="C462" s="425" t="s">
        <v>533</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534</v>
      </c>
      <c r="C463" s="428" t="s">
        <v>1940</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535</v>
      </c>
      <c r="C464" s="425" t="s">
        <v>536</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1459</v>
      </c>
      <c r="C465" s="428" t="s">
        <v>1941</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538</v>
      </c>
      <c r="C466" s="425" t="s">
        <v>539</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540</v>
      </c>
      <c r="C467" s="428" t="s">
        <v>1942</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541</v>
      </c>
      <c r="C468" s="425" t="s">
        <v>542</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543</v>
      </c>
      <c r="C469" s="425" t="s">
        <v>544</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868</v>
      </c>
      <c r="C471" s="45"/>
      <c r="D471" s="45"/>
      <c r="E471" s="45"/>
      <c r="F471" s="45"/>
      <c r="G471" s="45"/>
      <c r="H471" s="45"/>
      <c r="I471" s="45"/>
      <c r="J471" s="45"/>
      <c r="K471" s="45"/>
      <c r="L471" s="45"/>
      <c r="M471" s="45"/>
      <c r="N471" s="45"/>
      <c r="O471" s="45"/>
      <c r="P471" s="45"/>
      <c r="Q471" s="45"/>
    </row>
    <row r="472" spans="1:17" x14ac:dyDescent="0.45">
      <c r="A472" s="45"/>
      <c r="B472" s="431" t="s">
        <v>1267</v>
      </c>
      <c r="C472" s="45"/>
      <c r="D472" s="45"/>
      <c r="E472" s="45"/>
      <c r="F472" s="45"/>
      <c r="G472" s="45"/>
      <c r="H472" s="45"/>
      <c r="I472" s="45"/>
      <c r="J472" s="45"/>
      <c r="K472" s="45"/>
      <c r="L472" s="45"/>
      <c r="M472" s="45"/>
      <c r="N472" s="45"/>
      <c r="O472" s="45"/>
      <c r="P472" s="45"/>
      <c r="Q472" s="45"/>
    </row>
    <row r="473" spans="1:17" x14ac:dyDescent="0.45">
      <c r="A473" s="313">
        <v>1</v>
      </c>
      <c r="B473" s="424" t="s">
        <v>545</v>
      </c>
      <c r="C473" s="425" t="s">
        <v>546</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547</v>
      </c>
      <c r="C474" s="425" t="s">
        <v>548</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938</v>
      </c>
      <c r="C475" s="425" t="s">
        <v>939</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940</v>
      </c>
      <c r="C476" s="425" t="s">
        <v>941</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942</v>
      </c>
      <c r="C477" s="425" t="s">
        <v>943</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944</v>
      </c>
      <c r="C478" s="425" t="s">
        <v>945</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946</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2137</v>
      </c>
      <c r="C480" s="425" t="s">
        <v>2138</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2139</v>
      </c>
      <c r="C481" s="425" t="s">
        <v>2140</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2141</v>
      </c>
      <c r="C482" s="425" t="s">
        <v>2142</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1267</v>
      </c>
      <c r="C515" s="312"/>
      <c r="D515" s="45"/>
      <c r="E515" s="45"/>
      <c r="F515" s="45"/>
      <c r="G515" s="45"/>
      <c r="H515" s="45"/>
      <c r="I515" s="45"/>
      <c r="J515" s="45"/>
      <c r="K515" s="45"/>
      <c r="L515" s="45"/>
      <c r="M515" s="45"/>
      <c r="N515" s="45"/>
      <c r="O515" s="45"/>
      <c r="P515" s="45"/>
      <c r="Q515" s="45"/>
    </row>
    <row r="516" spans="1:17" x14ac:dyDescent="0.45">
      <c r="A516" s="311">
        <v>1</v>
      </c>
      <c r="B516" s="316" t="s">
        <v>1943</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2143</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1944</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1945</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1946</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1947</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1948</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1949</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1950</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1951</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1460</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1461</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1462</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1463</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1464</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1465</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1466</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1467</v>
      </c>
      <c r="C564" s="312"/>
      <c r="D564" s="314"/>
      <c r="E564" s="314"/>
      <c r="F564" s="314"/>
      <c r="G564" s="314"/>
      <c r="H564" s="314"/>
      <c r="I564" s="314"/>
      <c r="J564" s="314"/>
      <c r="K564" s="314"/>
      <c r="L564" s="314"/>
      <c r="M564" s="314"/>
      <c r="N564" s="314"/>
      <c r="O564" s="314"/>
      <c r="P564" s="314"/>
      <c r="Q564" s="314"/>
    </row>
    <row r="565" spans="1:17" x14ac:dyDescent="0.45">
      <c r="A565" s="313">
        <v>6</v>
      </c>
      <c r="B565" s="424" t="s">
        <v>1470</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1471</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947</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948</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949</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2279</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950</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951</v>
      </c>
      <c r="C573" s="312"/>
      <c r="D573" s="314"/>
      <c r="E573" s="314"/>
      <c r="F573" s="314"/>
      <c r="G573" s="314"/>
      <c r="H573" s="314"/>
      <c r="I573" s="314"/>
      <c r="J573" s="314"/>
      <c r="K573" s="314"/>
      <c r="L573" s="314"/>
      <c r="M573" s="314"/>
      <c r="N573" s="314"/>
      <c r="O573" s="314"/>
      <c r="P573" s="314"/>
      <c r="Q573" s="314"/>
    </row>
    <row r="574" spans="1:17" x14ac:dyDescent="0.45">
      <c r="A574" s="313">
        <v>13</v>
      </c>
      <c r="B574" s="424" t="s">
        <v>646</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647</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648</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1955</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649</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1956</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2129</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2130</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2131</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1042</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1043</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1044</v>
      </c>
      <c r="C587" s="312"/>
      <c r="D587" s="314"/>
      <c r="E587" s="314"/>
      <c r="F587" s="314"/>
      <c r="G587" s="314"/>
      <c r="H587" s="314"/>
      <c r="I587" s="314"/>
      <c r="J587" s="314"/>
      <c r="K587" s="314"/>
      <c r="L587" s="314"/>
      <c r="M587" s="314"/>
      <c r="N587" s="314"/>
      <c r="O587" s="314"/>
      <c r="P587" s="314"/>
      <c r="Q587" s="314"/>
    </row>
    <row r="588" spans="1:17" x14ac:dyDescent="0.45">
      <c r="A588" s="313">
        <v>24</v>
      </c>
      <c r="B588" s="424" t="s">
        <v>1045</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1046</v>
      </c>
      <c r="C590" s="312"/>
      <c r="D590" s="314"/>
      <c r="E590" s="314"/>
      <c r="F590" s="314"/>
      <c r="G590" s="314"/>
      <c r="H590" s="314"/>
      <c r="I590" s="314"/>
      <c r="J590" s="314"/>
      <c r="K590" s="314"/>
      <c r="L590" s="314"/>
      <c r="M590" s="314"/>
      <c r="N590" s="314"/>
      <c r="O590" s="314"/>
      <c r="P590" s="314"/>
      <c r="Q590" s="314"/>
    </row>
    <row r="591" spans="1:17" x14ac:dyDescent="0.45">
      <c r="A591" s="313">
        <v>25</v>
      </c>
      <c r="B591" s="424" t="s">
        <v>1047</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1048</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2194</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1049</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1050</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1766</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1767</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1768</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1769</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1051</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1052</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1770</v>
      </c>
      <c r="P602" s="314"/>
      <c r="Q602" s="314"/>
      <c r="T602" s="116"/>
    </row>
    <row r="603" spans="1:24" ht="12.9" thickBot="1" x14ac:dyDescent="0.5">
      <c r="A603" s="313">
        <v>36</v>
      </c>
      <c r="B603" s="424" t="s">
        <v>1053</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2530</v>
      </c>
      <c r="T603" s="385"/>
      <c r="W603" s="356"/>
      <c r="X603" s="45"/>
    </row>
    <row r="604" spans="1:24" x14ac:dyDescent="0.45">
      <c r="A604" s="313">
        <v>37</v>
      </c>
      <c r="B604" s="424" t="s">
        <v>1054</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1055</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1056</v>
      </c>
      <c r="C611" s="312"/>
      <c r="D611" s="45"/>
      <c r="E611" s="45"/>
      <c r="F611" s="45"/>
      <c r="G611" s="45"/>
      <c r="H611" s="45"/>
      <c r="I611" s="45"/>
      <c r="J611" s="45"/>
      <c r="K611" s="45"/>
      <c r="L611" s="45"/>
      <c r="M611" s="45"/>
      <c r="N611" s="45"/>
      <c r="O611" s="45"/>
      <c r="P611" s="45"/>
      <c r="Q611" s="45"/>
    </row>
    <row r="612" spans="1:25" x14ac:dyDescent="0.45">
      <c r="A612" s="313">
        <v>1</v>
      </c>
      <c r="B612" s="427" t="s">
        <v>1957</v>
      </c>
      <c r="C612" s="425" t="s">
        <v>1423</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1958</v>
      </c>
      <c r="C613" s="425" t="s">
        <v>1425</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1959</v>
      </c>
      <c r="C614" s="425" t="s">
        <v>1423</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1057</v>
      </c>
      <c r="C615" s="312"/>
      <c r="D615" s="314">
        <v>113132322</v>
      </c>
      <c r="E615" s="45"/>
      <c r="F615" s="314">
        <v>105751398</v>
      </c>
      <c r="G615" s="314"/>
      <c r="H615" s="314">
        <v>5890184</v>
      </c>
      <c r="I615" s="314"/>
      <c r="J615" s="314">
        <v>1490740</v>
      </c>
      <c r="K615" s="314">
        <v>780016</v>
      </c>
      <c r="L615" s="314">
        <v>710724</v>
      </c>
      <c r="M615" s="314"/>
      <c r="N615" s="314"/>
      <c r="O615" s="314"/>
      <c r="P615" s="314" t="s">
        <v>557</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1058</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1960</v>
      </c>
      <c r="C618" s="312"/>
      <c r="D618" s="45"/>
      <c r="E618" s="45"/>
      <c r="F618" s="314"/>
      <c r="G618" s="314"/>
      <c r="H618" s="314"/>
      <c r="I618" s="314"/>
      <c r="J618" s="314"/>
      <c r="K618" s="314"/>
      <c r="L618" s="314"/>
      <c r="M618" s="314"/>
      <c r="N618" s="314"/>
      <c r="O618" s="314"/>
      <c r="P618" s="314"/>
      <c r="Q618" s="314"/>
      <c r="R618" s="314" t="s">
        <v>1988</v>
      </c>
      <c r="S618" s="314"/>
      <c r="T618" s="314"/>
      <c r="U618" s="320"/>
      <c r="V618" s="320"/>
      <c r="W618" s="325"/>
      <c r="X618" s="320"/>
      <c r="Y618" s="320"/>
    </row>
    <row r="619" spans="1:25" x14ac:dyDescent="0.45">
      <c r="A619" s="313">
        <v>5</v>
      </c>
      <c r="B619" s="427" t="s">
        <v>1961</v>
      </c>
      <c r="C619" s="425" t="s">
        <v>1270</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1962</v>
      </c>
      <c r="C620" s="425" t="s">
        <v>1270</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1963</v>
      </c>
      <c r="C621" s="425" t="s">
        <v>1270</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1964</v>
      </c>
      <c r="C622" s="425" t="s">
        <v>1270</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1965</v>
      </c>
      <c r="C623" s="425" t="s">
        <v>1270</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1966</v>
      </c>
      <c r="C624" s="425" t="s">
        <v>1270</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1967</v>
      </c>
      <c r="C625" s="425" t="s">
        <v>1270</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1968</v>
      </c>
      <c r="C626" s="425" t="s">
        <v>1272</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1969</v>
      </c>
      <c r="C627" s="425" t="s">
        <v>1278</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1355</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557</v>
      </c>
      <c r="Q628" s="314" t="s">
        <v>557</v>
      </c>
      <c r="R628" s="314" t="s">
        <v>1061</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1970</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1971</v>
      </c>
      <c r="C631" s="425" t="s">
        <v>1270</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1972</v>
      </c>
      <c r="C632" s="425" t="s">
        <v>1270</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1973</v>
      </c>
      <c r="C633" s="425" t="s">
        <v>1270</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1974</v>
      </c>
      <c r="C634" s="425" t="s">
        <v>1270</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1975</v>
      </c>
      <c r="C635" s="425" t="s">
        <v>1270</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1976</v>
      </c>
      <c r="C636" s="425" t="s">
        <v>1270</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1977</v>
      </c>
      <c r="C637" s="425" t="s">
        <v>1270</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1978</v>
      </c>
      <c r="C638" s="425" t="s">
        <v>1270</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1968</v>
      </c>
      <c r="C639" s="425" t="s">
        <v>1272</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1969</v>
      </c>
      <c r="C640" s="425" t="s">
        <v>1278</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1062</v>
      </c>
      <c r="C641" s="45"/>
      <c r="D641" s="314">
        <v>49393380</v>
      </c>
      <c r="E641" s="45"/>
      <c r="F641" s="314">
        <v>46332385</v>
      </c>
      <c r="G641" s="314"/>
      <c r="H641" s="314">
        <v>2097571</v>
      </c>
      <c r="I641" s="314"/>
      <c r="J641" s="314">
        <v>963423</v>
      </c>
      <c r="K641" s="314">
        <v>488702</v>
      </c>
      <c r="L641" s="314">
        <v>474721</v>
      </c>
      <c r="M641" s="314"/>
      <c r="N641" s="314"/>
      <c r="O641" s="314">
        <v>49393380</v>
      </c>
      <c r="P641" s="314" t="s">
        <v>557</v>
      </c>
      <c r="Q641" s="314" t="s">
        <v>557</v>
      </c>
      <c r="R641" s="314" t="s">
        <v>1063</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1979</v>
      </c>
      <c r="C643" s="312"/>
      <c r="D643" s="45"/>
      <c r="E643" s="45"/>
      <c r="F643" s="314"/>
      <c r="G643" s="314"/>
      <c r="H643" s="314"/>
      <c r="I643" s="314"/>
      <c r="J643" s="314"/>
      <c r="K643" s="314"/>
      <c r="L643" s="314"/>
      <c r="M643" s="314"/>
      <c r="N643" s="314"/>
      <c r="O643" s="314"/>
      <c r="P643" s="314"/>
      <c r="Q643" s="314"/>
      <c r="R643" s="314"/>
      <c r="S643" s="314" t="s">
        <v>2531</v>
      </c>
      <c r="T643" s="314" t="s">
        <v>2532</v>
      </c>
      <c r="U643" s="320"/>
      <c r="V643" s="320"/>
      <c r="W643" s="320"/>
      <c r="X643" s="320"/>
      <c r="Y643" s="320"/>
    </row>
    <row r="644" spans="1:25" x14ac:dyDescent="0.45">
      <c r="A644" s="313">
        <v>26</v>
      </c>
      <c r="B644" s="427" t="s">
        <v>1980</v>
      </c>
      <c r="C644" s="425" t="s">
        <v>1270</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1981</v>
      </c>
      <c r="C645" s="425" t="s">
        <v>1270</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1982</v>
      </c>
      <c r="C646" s="425" t="s">
        <v>1270</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1983</v>
      </c>
      <c r="C647" s="425" t="s">
        <v>1270</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1984</v>
      </c>
      <c r="C648" s="425" t="s">
        <v>1270</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1985</v>
      </c>
      <c r="C649" s="425" t="s">
        <v>1270</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1986</v>
      </c>
      <c r="C650" s="425" t="s">
        <v>1270</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1987</v>
      </c>
      <c r="C651" s="425" t="s">
        <v>1270</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1968</v>
      </c>
      <c r="C652" s="425" t="s">
        <v>1272</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1969</v>
      </c>
      <c r="C653" s="425" t="s">
        <v>1278</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1064</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557</v>
      </c>
      <c r="Q654" s="314" t="s">
        <v>557</v>
      </c>
      <c r="R654" s="314" t="s">
        <v>1065</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912</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1072</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1066</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1581</v>
      </c>
      <c r="C661" s="312"/>
      <c r="D661" s="45"/>
      <c r="E661" s="45"/>
      <c r="F661" s="314"/>
      <c r="G661" s="314"/>
      <c r="H661" s="314"/>
      <c r="I661" s="314"/>
      <c r="J661" s="314"/>
      <c r="K661" s="314"/>
      <c r="L661" s="314"/>
      <c r="M661" s="314" t="s">
        <v>1067</v>
      </c>
      <c r="N661" s="314"/>
      <c r="O661" s="314"/>
      <c r="P661" s="314"/>
      <c r="Q661" s="314"/>
      <c r="R661" s="314" t="s">
        <v>1988</v>
      </c>
      <c r="S661" s="314"/>
      <c r="T661" s="314" t="s">
        <v>2504</v>
      </c>
      <c r="W661" s="325"/>
    </row>
    <row r="662" spans="1:25" x14ac:dyDescent="0.45">
      <c r="A662" s="313">
        <v>1</v>
      </c>
      <c r="B662" s="427" t="s">
        <v>1989</v>
      </c>
      <c r="C662" s="425" t="s">
        <v>1850</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2505</v>
      </c>
      <c r="T662" s="314">
        <v>42798</v>
      </c>
      <c r="U662" s="320"/>
      <c r="V662" s="320"/>
      <c r="W662" s="320"/>
      <c r="X662" s="320"/>
      <c r="Y662" s="320"/>
    </row>
    <row r="663" spans="1:25" x14ac:dyDescent="0.45">
      <c r="A663" s="313">
        <v>2</v>
      </c>
      <c r="B663" s="427" t="s">
        <v>1990</v>
      </c>
      <c r="C663" s="425" t="s">
        <v>1850</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1991</v>
      </c>
      <c r="C664" s="425" t="s">
        <v>1850</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1992</v>
      </c>
      <c r="C665" s="425" t="s">
        <v>1850</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1993</v>
      </c>
      <c r="C666" s="425" t="s">
        <v>1850</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2506</v>
      </c>
      <c r="T666" s="314">
        <v>655531</v>
      </c>
      <c r="U666" s="320"/>
      <c r="V666" s="320"/>
      <c r="W666" s="320"/>
      <c r="X666" s="320"/>
      <c r="Y666" s="320"/>
    </row>
    <row r="667" spans="1:25" x14ac:dyDescent="0.45">
      <c r="A667" s="313">
        <v>6</v>
      </c>
      <c r="B667" s="427" t="s">
        <v>1994</v>
      </c>
      <c r="C667" s="425" t="s">
        <v>1850</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2507</v>
      </c>
      <c r="T667" s="314">
        <v>362225</v>
      </c>
      <c r="U667" s="320"/>
      <c r="V667" s="320"/>
      <c r="W667" s="320"/>
      <c r="X667" s="320"/>
      <c r="Y667" s="320"/>
    </row>
    <row r="668" spans="1:25" x14ac:dyDescent="0.45">
      <c r="A668" s="313">
        <v>7</v>
      </c>
      <c r="B668" s="427" t="s">
        <v>1995</v>
      </c>
      <c r="C668" s="425" t="s">
        <v>1850</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1996</v>
      </c>
      <c r="C669" s="425" t="s">
        <v>1850</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1997</v>
      </c>
      <c r="C670" s="425" t="s">
        <v>1850</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1968</v>
      </c>
      <c r="C671" s="425" t="s">
        <v>1272</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1969</v>
      </c>
      <c r="C672" s="425" t="s">
        <v>1278</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1998</v>
      </c>
      <c r="C673" s="312"/>
      <c r="D673" s="314">
        <v>1317509651</v>
      </c>
      <c r="E673" s="45"/>
      <c r="F673" s="314">
        <v>1258772521</v>
      </c>
      <c r="G673" s="314"/>
      <c r="H673" s="314">
        <v>57404626</v>
      </c>
      <c r="I673" s="314"/>
      <c r="J673" s="314">
        <v>1332504</v>
      </c>
      <c r="K673" s="314">
        <v>1198502</v>
      </c>
      <c r="L673" s="314">
        <v>134002</v>
      </c>
      <c r="M673" s="314"/>
      <c r="N673" s="314"/>
      <c r="O673" s="314"/>
      <c r="P673" s="314" t="s">
        <v>557</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1999</v>
      </c>
      <c r="C675" s="312"/>
      <c r="D675" s="45"/>
      <c r="E675" s="45"/>
      <c r="F675" s="314"/>
      <c r="G675" s="314"/>
      <c r="H675" s="314"/>
      <c r="I675" s="314"/>
      <c r="J675" s="314"/>
      <c r="K675" s="314"/>
      <c r="L675" s="314"/>
      <c r="M675" s="314"/>
      <c r="N675" s="314"/>
      <c r="O675" s="314"/>
      <c r="P675" s="314"/>
      <c r="Q675" s="314"/>
      <c r="R675" s="314" t="s">
        <v>1070</v>
      </c>
      <c r="S675" s="314"/>
      <c r="T675" s="314"/>
      <c r="W675" s="320"/>
    </row>
    <row r="676" spans="1:25" x14ac:dyDescent="0.45">
      <c r="A676" s="313">
        <v>13</v>
      </c>
      <c r="B676" s="427" t="s">
        <v>1989</v>
      </c>
      <c r="C676" s="425" t="s">
        <v>1285</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1990</v>
      </c>
      <c r="C677" s="425" t="s">
        <v>1285</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1991</v>
      </c>
      <c r="C678" s="425" t="s">
        <v>1285</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1992</v>
      </c>
      <c r="C679" s="425" t="s">
        <v>1285</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1993</v>
      </c>
      <c r="C680" s="425" t="s">
        <v>1285</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1994</v>
      </c>
      <c r="C681" s="425" t="s">
        <v>1285</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1968</v>
      </c>
      <c r="C682" s="425" t="s">
        <v>1285</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1969</v>
      </c>
      <c r="C683" s="425" t="s">
        <v>1285</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2000</v>
      </c>
      <c r="C684" s="312"/>
      <c r="D684" s="314">
        <v>94477230</v>
      </c>
      <c r="E684" s="45"/>
      <c r="F684" s="314">
        <v>0</v>
      </c>
      <c r="G684" s="314"/>
      <c r="H684" s="314">
        <v>94477230</v>
      </c>
      <c r="I684" s="314"/>
      <c r="J684" s="314">
        <v>0</v>
      </c>
      <c r="K684" s="314">
        <v>0</v>
      </c>
      <c r="L684" s="314">
        <v>0</v>
      </c>
      <c r="M684" s="314"/>
      <c r="N684" s="314"/>
      <c r="O684" s="314"/>
      <c r="P684" s="314" t="s">
        <v>557</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2001</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1989</v>
      </c>
      <c r="C687" s="425" t="s">
        <v>2133</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1992</v>
      </c>
      <c r="C688" s="425" t="s">
        <v>2133</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1993</v>
      </c>
      <c r="C689" s="425" t="s">
        <v>2133</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1994</v>
      </c>
      <c r="C690" s="425" t="s">
        <v>2133</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1968</v>
      </c>
      <c r="C691" s="425" t="s">
        <v>1272</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1969</v>
      </c>
      <c r="C692" s="425" t="s">
        <v>1278</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2002</v>
      </c>
      <c r="C693" s="312"/>
      <c r="D693" s="314">
        <v>8230429</v>
      </c>
      <c r="E693" s="45"/>
      <c r="F693" s="314">
        <v>8230429</v>
      </c>
      <c r="G693" s="314"/>
      <c r="H693" s="314">
        <v>0</v>
      </c>
      <c r="I693" s="314"/>
      <c r="J693" s="314">
        <v>0</v>
      </c>
      <c r="K693" s="314">
        <v>0</v>
      </c>
      <c r="L693" s="314">
        <v>0</v>
      </c>
      <c r="M693" s="314"/>
      <c r="N693" s="314"/>
      <c r="O693" s="314"/>
      <c r="P693" s="314" t="s">
        <v>557</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914</v>
      </c>
      <c r="C695" s="312"/>
      <c r="D695" s="314">
        <v>1420217310</v>
      </c>
      <c r="E695" s="45"/>
      <c r="F695" s="314">
        <v>1267002950</v>
      </c>
      <c r="G695" s="314"/>
      <c r="H695" s="314">
        <v>151881857</v>
      </c>
      <c r="I695" s="314"/>
      <c r="J695" s="314">
        <v>1332504</v>
      </c>
      <c r="K695" s="314">
        <v>1198502</v>
      </c>
      <c r="L695" s="314">
        <v>134002</v>
      </c>
      <c r="M695" s="314"/>
      <c r="N695" s="314"/>
      <c r="O695" s="314"/>
      <c r="P695" s="314" t="s">
        <v>557</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1072</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1073</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1074</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2003</v>
      </c>
      <c r="C701" s="428" t="s">
        <v>1852</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2004</v>
      </c>
      <c r="C702" s="428" t="s">
        <v>1854</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2005</v>
      </c>
      <c r="C703" s="428" t="s">
        <v>1856</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2006</v>
      </c>
      <c r="C704" s="428" t="s">
        <v>1858</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2007</v>
      </c>
      <c r="C705" s="428" t="s">
        <v>1860</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2008</v>
      </c>
      <c r="C706" s="428" t="s">
        <v>1862</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2009</v>
      </c>
      <c r="C707" s="428" t="s">
        <v>1864</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2010</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1364</v>
      </c>
      <c r="D709" s="314">
        <v>5363042</v>
      </c>
      <c r="E709" s="45"/>
      <c r="F709" s="314">
        <v>5363042</v>
      </c>
      <c r="G709" s="314"/>
      <c r="H709" s="314">
        <v>0</v>
      </c>
      <c r="I709" s="314"/>
      <c r="J709" s="314">
        <v>0</v>
      </c>
      <c r="K709" s="314">
        <v>0</v>
      </c>
      <c r="L709" s="314">
        <v>0</v>
      </c>
      <c r="M709" s="314"/>
      <c r="N709" s="314"/>
      <c r="O709" s="314">
        <v>5363042</v>
      </c>
      <c r="P709" s="314"/>
      <c r="Q709" s="314"/>
      <c r="R709" s="314" t="s">
        <v>2226</v>
      </c>
      <c r="S709" s="314"/>
      <c r="T709" s="314"/>
      <c r="U709" s="320"/>
      <c r="V709" s="320"/>
      <c r="W709" s="317"/>
      <c r="X709" s="320"/>
      <c r="Y709" s="320"/>
      <c r="AA709" s="320"/>
    </row>
    <row r="710" spans="1:27" x14ac:dyDescent="0.45">
      <c r="A710" s="313">
        <v>9</v>
      </c>
      <c r="B710" s="424" t="s">
        <v>2</v>
      </c>
      <c r="C710" s="425" t="s">
        <v>1364</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2011</v>
      </c>
      <c r="C711" s="312"/>
      <c r="D711" s="314">
        <v>326558524</v>
      </c>
      <c r="E711" s="45"/>
      <c r="F711" s="314">
        <v>326558524</v>
      </c>
      <c r="G711" s="314"/>
      <c r="H711" s="314">
        <v>0</v>
      </c>
      <c r="I711" s="314"/>
      <c r="J711" s="314">
        <v>0</v>
      </c>
      <c r="K711" s="314">
        <v>0</v>
      </c>
      <c r="L711" s="314">
        <v>0</v>
      </c>
      <c r="M711" s="314"/>
      <c r="N711" s="314"/>
      <c r="O711" s="314">
        <v>326558524</v>
      </c>
      <c r="P711" s="314" t="s">
        <v>557</v>
      </c>
      <c r="Q711" s="314"/>
      <c r="R711" s="314"/>
      <c r="S711" s="314"/>
      <c r="T711" s="314"/>
      <c r="U711" s="325"/>
      <c r="V711" s="320"/>
      <c r="W711" s="320"/>
    </row>
    <row r="712" spans="1:27" x14ac:dyDescent="0.45">
      <c r="A712" s="313">
        <v>11</v>
      </c>
      <c r="B712" s="427" t="s">
        <v>2012</v>
      </c>
      <c r="C712" s="425" t="s">
        <v>1384</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2013</v>
      </c>
      <c r="C713" s="425" t="s">
        <v>1386</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2014</v>
      </c>
      <c r="C714" s="425" t="s">
        <v>1388</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2015</v>
      </c>
      <c r="C715" s="425" t="s">
        <v>1390</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1785</v>
      </c>
      <c r="C716" s="425" t="s">
        <v>1786</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557</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2003</v>
      </c>
      <c r="C720" s="428" t="s">
        <v>1868</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2004</v>
      </c>
      <c r="C721" s="428" t="s">
        <v>1870</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2005</v>
      </c>
      <c r="C722" s="428" t="s">
        <v>1872</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2006</v>
      </c>
      <c r="C723" s="428" t="s">
        <v>1874</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2007</v>
      </c>
      <c r="C724" s="428" t="s">
        <v>1876</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2009</v>
      </c>
      <c r="C725" s="428" t="s">
        <v>1878</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2010</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1365</v>
      </c>
      <c r="D727" s="314">
        <v>110560</v>
      </c>
      <c r="E727" s="45"/>
      <c r="F727" s="314">
        <v>0</v>
      </c>
      <c r="G727" s="314"/>
      <c r="H727" s="314">
        <v>110560</v>
      </c>
      <c r="I727" s="314"/>
      <c r="J727" s="314">
        <v>0</v>
      </c>
      <c r="K727" s="314">
        <v>0</v>
      </c>
      <c r="L727" s="314">
        <v>0</v>
      </c>
      <c r="M727" s="314"/>
      <c r="N727" s="314"/>
      <c r="O727" s="314">
        <v>110560</v>
      </c>
      <c r="P727" s="314"/>
      <c r="Q727" s="314"/>
      <c r="R727" s="314" t="s">
        <v>2227</v>
      </c>
      <c r="S727" s="314"/>
      <c r="T727" s="314"/>
      <c r="U727" s="320"/>
      <c r="V727" s="320"/>
      <c r="W727" s="317"/>
      <c r="X727" s="320"/>
      <c r="Y727" s="320"/>
      <c r="AA727" s="320"/>
    </row>
    <row r="728" spans="1:27" x14ac:dyDescent="0.45">
      <c r="A728" s="313">
        <v>24</v>
      </c>
      <c r="B728" s="424" t="s">
        <v>2</v>
      </c>
      <c r="C728" s="425" t="s">
        <v>1365</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2011</v>
      </c>
      <c r="C729" s="312"/>
      <c r="D729" s="314">
        <v>11061515</v>
      </c>
      <c r="E729" s="45"/>
      <c r="F729" s="314">
        <v>0</v>
      </c>
      <c r="G729" s="314"/>
      <c r="H729" s="314">
        <v>11061515</v>
      </c>
      <c r="I729" s="314"/>
      <c r="J729" s="314">
        <v>0</v>
      </c>
      <c r="K729" s="314">
        <v>0</v>
      </c>
      <c r="L729" s="314">
        <v>0</v>
      </c>
      <c r="M729" s="314"/>
      <c r="N729" s="314"/>
      <c r="O729" s="314">
        <v>11061515</v>
      </c>
      <c r="P729" s="314" t="s">
        <v>557</v>
      </c>
      <c r="Q729" s="314"/>
      <c r="R729" s="314"/>
      <c r="S729" s="314"/>
      <c r="T729" s="314"/>
      <c r="U729" s="325"/>
      <c r="V729" s="320"/>
      <c r="W729" s="320"/>
    </row>
    <row r="730" spans="1:27" x14ac:dyDescent="0.45">
      <c r="A730" s="313">
        <v>26</v>
      </c>
      <c r="B730" s="427" t="s">
        <v>2012</v>
      </c>
      <c r="C730" s="425" t="s">
        <v>1402</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2013</v>
      </c>
      <c r="C731" s="425" t="s">
        <v>1404</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2014</v>
      </c>
      <c r="C732" s="425" t="s">
        <v>1406</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2015</v>
      </c>
      <c r="C733" s="425" t="s">
        <v>1408</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557</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2016</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2003</v>
      </c>
      <c r="C737" s="425" t="s">
        <v>1881</v>
      </c>
      <c r="D737" s="314">
        <v>5040</v>
      </c>
      <c r="E737" s="45"/>
      <c r="F737" s="314">
        <v>5040</v>
      </c>
      <c r="G737" s="314"/>
      <c r="H737" s="314">
        <v>0</v>
      </c>
      <c r="I737" s="314"/>
      <c r="J737" s="314">
        <v>0</v>
      </c>
      <c r="K737" s="314">
        <v>0</v>
      </c>
      <c r="L737" s="314">
        <v>0</v>
      </c>
      <c r="M737" s="314"/>
      <c r="N737" s="314"/>
      <c r="O737" s="314">
        <v>5040</v>
      </c>
      <c r="P737" s="314" t="s">
        <v>557</v>
      </c>
      <c r="Q737" s="314"/>
      <c r="R737" s="314"/>
      <c r="S737" s="314"/>
      <c r="T737" s="314"/>
      <c r="U737" s="325"/>
      <c r="V737" s="320"/>
      <c r="W737" s="320"/>
      <c r="X737" s="320"/>
      <c r="Y737" s="320"/>
    </row>
    <row r="738" spans="1:25" x14ac:dyDescent="0.45">
      <c r="A738" s="313">
        <v>32</v>
      </c>
      <c r="B738" s="427" t="s">
        <v>2004</v>
      </c>
      <c r="C738" s="425" t="s">
        <v>1883</v>
      </c>
      <c r="D738" s="314">
        <v>2545</v>
      </c>
      <c r="E738" s="45"/>
      <c r="F738" s="314">
        <v>2545</v>
      </c>
      <c r="G738" s="314"/>
      <c r="H738" s="314">
        <v>0</v>
      </c>
      <c r="I738" s="314"/>
      <c r="J738" s="314">
        <v>0</v>
      </c>
      <c r="K738" s="314">
        <v>0</v>
      </c>
      <c r="L738" s="314">
        <v>0</v>
      </c>
      <c r="M738" s="314"/>
      <c r="N738" s="314"/>
      <c r="O738" s="314">
        <v>2545</v>
      </c>
      <c r="P738" s="314" t="s">
        <v>557</v>
      </c>
      <c r="Q738" s="314"/>
      <c r="R738" s="314"/>
      <c r="S738" s="314"/>
      <c r="T738" s="314"/>
      <c r="U738" s="325"/>
      <c r="V738" s="320"/>
      <c r="W738" s="320"/>
      <c r="X738" s="320"/>
      <c r="Y738" s="320"/>
    </row>
    <row r="739" spans="1:25" x14ac:dyDescent="0.45">
      <c r="A739" s="313">
        <v>33</v>
      </c>
      <c r="B739" s="427" t="s">
        <v>2005</v>
      </c>
      <c r="C739" s="425" t="s">
        <v>1885</v>
      </c>
      <c r="D739" s="314">
        <v>66853</v>
      </c>
      <c r="E739" s="45"/>
      <c r="F739" s="314">
        <v>66853</v>
      </c>
      <c r="G739" s="314"/>
      <c r="H739" s="314">
        <v>0</v>
      </c>
      <c r="I739" s="314"/>
      <c r="J739" s="314">
        <v>0</v>
      </c>
      <c r="K739" s="314">
        <v>0</v>
      </c>
      <c r="L739" s="314">
        <v>0</v>
      </c>
      <c r="M739" s="314"/>
      <c r="N739" s="314"/>
      <c r="O739" s="314">
        <v>66853</v>
      </c>
      <c r="P739" s="314" t="s">
        <v>557</v>
      </c>
      <c r="Q739" s="314"/>
      <c r="R739" s="314"/>
      <c r="S739" s="314"/>
      <c r="T739" s="314"/>
      <c r="U739" s="325"/>
      <c r="V739" s="320"/>
      <c r="W739" s="320"/>
      <c r="X739" s="320"/>
      <c r="Y739" s="320"/>
    </row>
    <row r="740" spans="1:25" x14ac:dyDescent="0.45">
      <c r="A740" s="313">
        <v>34</v>
      </c>
      <c r="B740" s="427" t="s">
        <v>2006</v>
      </c>
      <c r="C740" s="425" t="s">
        <v>1887</v>
      </c>
      <c r="D740" s="314">
        <v>15955</v>
      </c>
      <c r="E740" s="45"/>
      <c r="F740" s="314">
        <v>15955</v>
      </c>
      <c r="G740" s="314"/>
      <c r="H740" s="314">
        <v>0</v>
      </c>
      <c r="I740" s="314"/>
      <c r="J740" s="314">
        <v>0</v>
      </c>
      <c r="K740" s="314">
        <v>0</v>
      </c>
      <c r="L740" s="314">
        <v>0</v>
      </c>
      <c r="M740" s="314"/>
      <c r="N740" s="314"/>
      <c r="O740" s="314">
        <v>15955</v>
      </c>
      <c r="P740" s="314" t="s">
        <v>557</v>
      </c>
      <c r="Q740" s="314"/>
      <c r="R740" s="314"/>
      <c r="S740" s="314"/>
      <c r="T740" s="314"/>
      <c r="U740" s="325"/>
      <c r="V740" s="320"/>
      <c r="W740" s="320"/>
      <c r="X740" s="320"/>
      <c r="Y740" s="320"/>
    </row>
    <row r="741" spans="1:25" x14ac:dyDescent="0.45">
      <c r="A741" s="313">
        <v>35</v>
      </c>
      <c r="B741" s="427" t="s">
        <v>2007</v>
      </c>
      <c r="C741" s="425" t="s">
        <v>1889</v>
      </c>
      <c r="D741" s="314">
        <v>17140</v>
      </c>
      <c r="E741" s="45"/>
      <c r="F741" s="314">
        <v>17140</v>
      </c>
      <c r="G741" s="314"/>
      <c r="H741" s="314">
        <v>0</v>
      </c>
      <c r="I741" s="314"/>
      <c r="J741" s="314">
        <v>0</v>
      </c>
      <c r="K741" s="314">
        <v>0</v>
      </c>
      <c r="L741" s="314">
        <v>0</v>
      </c>
      <c r="M741" s="314"/>
      <c r="N741" s="314"/>
      <c r="O741" s="314">
        <v>17140</v>
      </c>
      <c r="P741" s="314" t="s">
        <v>557</v>
      </c>
      <c r="Q741" s="314"/>
      <c r="R741" s="314"/>
      <c r="S741" s="314"/>
      <c r="T741" s="314"/>
      <c r="U741" s="325"/>
      <c r="V741" s="320"/>
      <c r="W741" s="320"/>
      <c r="X741" s="320"/>
      <c r="Y741" s="320"/>
    </row>
    <row r="742" spans="1:25" x14ac:dyDescent="0.45">
      <c r="A742" s="313">
        <v>36</v>
      </c>
      <c r="B742" s="427" t="s">
        <v>2010</v>
      </c>
      <c r="C742" s="425" t="s">
        <v>1891</v>
      </c>
      <c r="D742" s="314">
        <v>0</v>
      </c>
      <c r="E742" s="45"/>
      <c r="F742" s="314">
        <v>0</v>
      </c>
      <c r="G742" s="314"/>
      <c r="H742" s="314">
        <v>0</v>
      </c>
      <c r="I742" s="314"/>
      <c r="J742" s="314">
        <v>0</v>
      </c>
      <c r="K742" s="314">
        <v>0</v>
      </c>
      <c r="L742" s="314">
        <v>0</v>
      </c>
      <c r="M742" s="314"/>
      <c r="N742" s="314"/>
      <c r="O742" s="314">
        <v>0</v>
      </c>
      <c r="P742" s="314" t="s">
        <v>557</v>
      </c>
      <c r="Q742" s="314"/>
      <c r="R742" s="314"/>
      <c r="S742" s="314"/>
      <c r="T742" s="314"/>
      <c r="U742" s="325"/>
      <c r="V742" s="320"/>
      <c r="W742" s="320"/>
      <c r="X742" s="320"/>
      <c r="Y742" s="320"/>
    </row>
    <row r="743" spans="1:25" x14ac:dyDescent="0.45">
      <c r="A743" s="313">
        <v>37</v>
      </c>
      <c r="B743" s="427" t="s">
        <v>2012</v>
      </c>
      <c r="C743" s="425" t="s">
        <v>1893</v>
      </c>
      <c r="D743" s="314">
        <v>0</v>
      </c>
      <c r="E743" s="45"/>
      <c r="F743" s="314">
        <v>0</v>
      </c>
      <c r="G743" s="314"/>
      <c r="H743" s="314">
        <v>0</v>
      </c>
      <c r="I743" s="314"/>
      <c r="J743" s="314">
        <v>0</v>
      </c>
      <c r="K743" s="314">
        <v>0</v>
      </c>
      <c r="L743" s="314">
        <v>0</v>
      </c>
      <c r="M743" s="314"/>
      <c r="N743" s="314"/>
      <c r="O743" s="314">
        <v>0</v>
      </c>
      <c r="P743" s="314" t="s">
        <v>557</v>
      </c>
      <c r="Q743" s="314"/>
      <c r="R743" s="314"/>
      <c r="S743" s="314"/>
      <c r="T743" s="314"/>
      <c r="U743" s="325"/>
      <c r="V743" s="320"/>
      <c r="W743" s="320"/>
      <c r="X743" s="320"/>
      <c r="Y743" s="320"/>
    </row>
    <row r="744" spans="1:25" x14ac:dyDescent="0.45">
      <c r="A744" s="313">
        <v>38</v>
      </c>
      <c r="B744" s="427" t="s">
        <v>2013</v>
      </c>
      <c r="C744" s="425" t="s">
        <v>1895</v>
      </c>
      <c r="D744" s="314">
        <v>0</v>
      </c>
      <c r="E744" s="45"/>
      <c r="F744" s="314">
        <v>0</v>
      </c>
      <c r="G744" s="314"/>
      <c r="H744" s="314">
        <v>0</v>
      </c>
      <c r="I744" s="314"/>
      <c r="J744" s="314">
        <v>0</v>
      </c>
      <c r="K744" s="314">
        <v>0</v>
      </c>
      <c r="L744" s="314">
        <v>0</v>
      </c>
      <c r="M744" s="314"/>
      <c r="N744" s="314"/>
      <c r="O744" s="314">
        <v>0</v>
      </c>
      <c r="P744" s="314" t="s">
        <v>557</v>
      </c>
      <c r="Q744" s="314"/>
      <c r="R744" s="314"/>
      <c r="S744" s="314"/>
      <c r="T744" s="314"/>
      <c r="U744" s="325"/>
      <c r="V744" s="320"/>
      <c r="W744" s="320"/>
      <c r="X744" s="320"/>
      <c r="Y744" s="320"/>
    </row>
    <row r="745" spans="1:25" x14ac:dyDescent="0.45">
      <c r="A745" s="313">
        <v>39</v>
      </c>
      <c r="B745" s="427" t="s">
        <v>2014</v>
      </c>
      <c r="C745" s="425" t="s">
        <v>1897</v>
      </c>
      <c r="D745" s="314">
        <v>0</v>
      </c>
      <c r="E745" s="45"/>
      <c r="F745" s="314">
        <v>0</v>
      </c>
      <c r="G745" s="314"/>
      <c r="H745" s="314">
        <v>0</v>
      </c>
      <c r="I745" s="314"/>
      <c r="J745" s="314">
        <v>0</v>
      </c>
      <c r="K745" s="314">
        <v>0</v>
      </c>
      <c r="L745" s="314">
        <v>0</v>
      </c>
      <c r="M745" s="314"/>
      <c r="N745" s="314"/>
      <c r="O745" s="314">
        <v>0</v>
      </c>
      <c r="P745" s="314" t="s">
        <v>557</v>
      </c>
      <c r="Q745" s="314"/>
      <c r="R745" s="314"/>
      <c r="S745" s="314"/>
      <c r="T745" s="314"/>
      <c r="U745" s="325"/>
      <c r="V745" s="320"/>
      <c r="W745" s="320"/>
      <c r="X745" s="320"/>
      <c r="Y745" s="320"/>
    </row>
    <row r="746" spans="1:25" x14ac:dyDescent="0.45">
      <c r="A746" s="313">
        <v>40</v>
      </c>
      <c r="B746" s="427" t="s">
        <v>2017</v>
      </c>
      <c r="C746" s="312"/>
      <c r="D746" s="314">
        <v>107534</v>
      </c>
      <c r="E746" s="45"/>
      <c r="F746" s="314">
        <v>107534</v>
      </c>
      <c r="G746" s="314"/>
      <c r="H746" s="314">
        <v>0</v>
      </c>
      <c r="I746" s="314"/>
      <c r="J746" s="314">
        <v>0</v>
      </c>
      <c r="K746" s="314">
        <v>0</v>
      </c>
      <c r="L746" s="314">
        <v>0</v>
      </c>
      <c r="M746" s="314"/>
      <c r="N746" s="314"/>
      <c r="O746" s="314"/>
      <c r="P746" s="314" t="s">
        <v>557</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1442</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1072</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2018</v>
      </c>
      <c r="C753" s="425" t="s">
        <v>1427</v>
      </c>
      <c r="D753" s="314">
        <v>4166497</v>
      </c>
      <c r="E753" s="45"/>
      <c r="F753" s="314">
        <v>3920556</v>
      </c>
      <c r="G753" s="314"/>
      <c r="H753" s="314">
        <v>198229</v>
      </c>
      <c r="I753" s="314"/>
      <c r="J753" s="314">
        <v>47712</v>
      </c>
      <c r="K753" s="314">
        <v>24877</v>
      </c>
      <c r="L753" s="314">
        <v>22834</v>
      </c>
      <c r="M753" s="314"/>
      <c r="N753" s="314"/>
      <c r="O753" s="314">
        <v>4166497</v>
      </c>
      <c r="P753" s="314" t="s">
        <v>557</v>
      </c>
      <c r="Q753" s="314"/>
      <c r="R753" s="314"/>
      <c r="S753" s="314"/>
      <c r="T753" s="314"/>
      <c r="U753" s="325"/>
      <c r="V753" s="325"/>
      <c r="W753" s="325"/>
    </row>
    <row r="754" spans="1:25" x14ac:dyDescent="0.45">
      <c r="A754" s="313">
        <v>2</v>
      </c>
      <c r="B754" s="427" t="s">
        <v>2019</v>
      </c>
      <c r="C754" s="425" t="s">
        <v>1427</v>
      </c>
      <c r="D754" s="314">
        <v>107767567</v>
      </c>
      <c r="E754" s="45"/>
      <c r="F754" s="314">
        <v>101406250</v>
      </c>
      <c r="G754" s="314"/>
      <c r="H754" s="314">
        <v>5127246</v>
      </c>
      <c r="I754" s="314"/>
      <c r="J754" s="314">
        <v>1234071</v>
      </c>
      <c r="K754" s="314">
        <v>643459</v>
      </c>
      <c r="L754" s="314">
        <v>590612</v>
      </c>
      <c r="M754" s="314"/>
      <c r="N754" s="314"/>
      <c r="O754" s="314">
        <v>107767567</v>
      </c>
      <c r="P754" s="314" t="s">
        <v>557</v>
      </c>
      <c r="Q754" s="314"/>
      <c r="R754" s="314"/>
      <c r="S754" s="314"/>
      <c r="T754" s="314"/>
      <c r="U754" s="325"/>
      <c r="V754" s="325"/>
      <c r="W754" s="325"/>
    </row>
    <row r="755" spans="1:25" x14ac:dyDescent="0.45">
      <c r="A755" s="313">
        <v>3</v>
      </c>
      <c r="B755" s="427" t="s">
        <v>2020</v>
      </c>
      <c r="C755" s="425" t="s">
        <v>1427</v>
      </c>
      <c r="D755" s="314">
        <v>44582200</v>
      </c>
      <c r="E755" s="45"/>
      <c r="F755" s="314">
        <v>41950596</v>
      </c>
      <c r="G755" s="314"/>
      <c r="H755" s="314">
        <v>2121082</v>
      </c>
      <c r="I755" s="314"/>
      <c r="J755" s="314">
        <v>510521</v>
      </c>
      <c r="K755" s="314">
        <v>266192</v>
      </c>
      <c r="L755" s="314">
        <v>244329</v>
      </c>
      <c r="M755" s="314"/>
      <c r="N755" s="314"/>
      <c r="O755" s="314">
        <v>44582200</v>
      </c>
      <c r="P755" s="314" t="s">
        <v>557</v>
      </c>
      <c r="Q755" s="314"/>
      <c r="R755" s="314"/>
      <c r="S755" s="314"/>
      <c r="T755" s="314"/>
      <c r="U755" s="325"/>
      <c r="V755" s="325"/>
      <c r="W755" s="325"/>
    </row>
    <row r="756" spans="1:25" x14ac:dyDescent="0.45">
      <c r="A756" s="313">
        <v>4</v>
      </c>
      <c r="B756" s="427" t="s">
        <v>2021</v>
      </c>
      <c r="C756" s="425" t="s">
        <v>1427</v>
      </c>
      <c r="D756" s="314">
        <v>8654017</v>
      </c>
      <c r="E756" s="45"/>
      <c r="F756" s="314">
        <v>8143187</v>
      </c>
      <c r="G756" s="314"/>
      <c r="H756" s="314">
        <v>411731</v>
      </c>
      <c r="I756" s="314"/>
      <c r="J756" s="314">
        <v>99099</v>
      </c>
      <c r="K756" s="314">
        <v>51671</v>
      </c>
      <c r="L756" s="314">
        <v>47428</v>
      </c>
      <c r="M756" s="314"/>
      <c r="N756" s="314"/>
      <c r="O756" s="314">
        <v>8654017</v>
      </c>
      <c r="P756" s="314" t="s">
        <v>557</v>
      </c>
      <c r="Q756" s="314"/>
      <c r="R756" s="314"/>
      <c r="S756" s="314"/>
      <c r="T756" s="314"/>
      <c r="U756" s="325"/>
      <c r="V756" s="325"/>
      <c r="W756" s="325"/>
    </row>
    <row r="757" spans="1:25" x14ac:dyDescent="0.45">
      <c r="A757" s="313">
        <v>5</v>
      </c>
      <c r="B757" s="427" t="s">
        <v>2022</v>
      </c>
      <c r="C757" s="425" t="s">
        <v>1427</v>
      </c>
      <c r="D757" s="314">
        <v>1028666</v>
      </c>
      <c r="E757" s="45"/>
      <c r="F757" s="314">
        <v>967946</v>
      </c>
      <c r="G757" s="314"/>
      <c r="H757" s="314">
        <v>48941</v>
      </c>
      <c r="I757" s="314"/>
      <c r="J757" s="314">
        <v>11779</v>
      </c>
      <c r="K757" s="314">
        <v>6142</v>
      </c>
      <c r="L757" s="314">
        <v>5638</v>
      </c>
      <c r="M757" s="314"/>
      <c r="N757" s="314"/>
      <c r="O757" s="314">
        <v>1028666</v>
      </c>
      <c r="P757" s="314" t="s">
        <v>557</v>
      </c>
      <c r="Q757" s="314"/>
      <c r="R757" s="314"/>
      <c r="S757" s="314"/>
      <c r="T757" s="314"/>
      <c r="U757" s="325"/>
      <c r="V757" s="325"/>
      <c r="W757" s="325"/>
    </row>
    <row r="758" spans="1:25" x14ac:dyDescent="0.45">
      <c r="A758" s="313">
        <v>6</v>
      </c>
      <c r="B758" s="427" t="s">
        <v>2023</v>
      </c>
      <c r="C758" s="425" t="s">
        <v>1427</v>
      </c>
      <c r="D758" s="314">
        <v>18691643</v>
      </c>
      <c r="E758" s="45"/>
      <c r="F758" s="314">
        <v>17588311</v>
      </c>
      <c r="G758" s="314"/>
      <c r="H758" s="314">
        <v>889290</v>
      </c>
      <c r="I758" s="314"/>
      <c r="J758" s="314">
        <v>214042</v>
      </c>
      <c r="K758" s="314">
        <v>111604</v>
      </c>
      <c r="L758" s="314">
        <v>102438</v>
      </c>
      <c r="M758" s="314"/>
      <c r="N758" s="314"/>
      <c r="O758" s="314">
        <v>18691643</v>
      </c>
      <c r="P758" s="314" t="s">
        <v>557</v>
      </c>
      <c r="Q758" s="314"/>
      <c r="R758" s="314"/>
      <c r="S758" s="314"/>
      <c r="T758" s="314"/>
      <c r="U758" s="325"/>
      <c r="V758" s="325"/>
      <c r="W758" s="325"/>
    </row>
    <row r="759" spans="1:25" x14ac:dyDescent="0.45">
      <c r="A759" s="313">
        <v>7</v>
      </c>
      <c r="B759" s="427" t="s">
        <v>2024</v>
      </c>
      <c r="C759" s="425" t="s">
        <v>1427</v>
      </c>
      <c r="D759" s="314">
        <v>0</v>
      </c>
      <c r="E759" s="45"/>
      <c r="F759" s="314">
        <v>0</v>
      </c>
      <c r="G759" s="314"/>
      <c r="H759" s="314">
        <v>0</v>
      </c>
      <c r="I759" s="314"/>
      <c r="J759" s="314">
        <v>0</v>
      </c>
      <c r="K759" s="314">
        <v>0</v>
      </c>
      <c r="L759" s="314">
        <v>0</v>
      </c>
      <c r="M759" s="314"/>
      <c r="N759" s="314"/>
      <c r="O759" s="314">
        <v>0</v>
      </c>
      <c r="P759" s="314" t="s">
        <v>557</v>
      </c>
      <c r="Q759" s="314"/>
      <c r="R759" s="314"/>
      <c r="S759" s="314"/>
      <c r="T759" s="314"/>
      <c r="U759" s="325"/>
      <c r="V759" s="325"/>
      <c r="W759" s="325"/>
    </row>
    <row r="760" spans="1:25" x14ac:dyDescent="0.45">
      <c r="A760" s="313">
        <v>8</v>
      </c>
      <c r="B760" s="427" t="s">
        <v>2025</v>
      </c>
      <c r="C760" s="425" t="s">
        <v>1427</v>
      </c>
      <c r="D760" s="314">
        <v>5841644</v>
      </c>
      <c r="E760" s="45"/>
      <c r="F760" s="314">
        <v>5496823</v>
      </c>
      <c r="G760" s="314"/>
      <c r="H760" s="314">
        <v>277927</v>
      </c>
      <c r="I760" s="314"/>
      <c r="J760" s="314">
        <v>66894</v>
      </c>
      <c r="K760" s="314">
        <v>34879</v>
      </c>
      <c r="L760" s="314">
        <v>32015</v>
      </c>
      <c r="M760" s="314"/>
      <c r="N760" s="314"/>
      <c r="O760" s="314">
        <v>5841644</v>
      </c>
      <c r="P760" s="314" t="s">
        <v>557</v>
      </c>
      <c r="Q760" s="314"/>
      <c r="R760" s="314"/>
      <c r="S760" s="314"/>
      <c r="T760" s="314"/>
      <c r="U760" s="325"/>
      <c r="V760" s="325"/>
      <c r="W760" s="325"/>
    </row>
    <row r="761" spans="1:25" x14ac:dyDescent="0.45">
      <c r="A761" s="45"/>
      <c r="B761" s="427" t="s">
        <v>2026</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2144</v>
      </c>
      <c r="C762" s="425" t="s">
        <v>941</v>
      </c>
      <c r="D762" s="314">
        <v>7637963</v>
      </c>
      <c r="E762" s="45"/>
      <c r="F762" s="314">
        <v>7637963</v>
      </c>
      <c r="G762" s="314"/>
      <c r="H762" s="314">
        <v>0</v>
      </c>
      <c r="I762" s="314"/>
      <c r="J762" s="314">
        <v>0</v>
      </c>
      <c r="K762" s="314">
        <v>0</v>
      </c>
      <c r="L762" s="314">
        <v>0</v>
      </c>
      <c r="M762" s="314"/>
      <c r="N762" s="314"/>
      <c r="O762" s="314">
        <v>7637963</v>
      </c>
      <c r="P762" s="314" t="s">
        <v>557</v>
      </c>
      <c r="Q762" s="314"/>
      <c r="R762" s="314"/>
      <c r="S762" s="314"/>
      <c r="T762" s="314"/>
      <c r="U762" s="325"/>
      <c r="V762" s="325"/>
      <c r="W762" s="325"/>
    </row>
    <row r="763" spans="1:25" x14ac:dyDescent="0.45">
      <c r="A763" s="313">
        <v>10</v>
      </c>
      <c r="B763" s="427" t="s">
        <v>2</v>
      </c>
      <c r="C763" s="425" t="s">
        <v>1427</v>
      </c>
      <c r="D763" s="314">
        <v>69550523</v>
      </c>
      <c r="E763" s="45"/>
      <c r="F763" s="314">
        <v>65445086</v>
      </c>
      <c r="G763" s="314"/>
      <c r="H763" s="314">
        <v>3308998</v>
      </c>
      <c r="I763" s="314"/>
      <c r="J763" s="314">
        <v>796439</v>
      </c>
      <c r="K763" s="314">
        <v>415273</v>
      </c>
      <c r="L763" s="314">
        <v>381166</v>
      </c>
      <c r="M763" s="314"/>
      <c r="N763" s="314"/>
      <c r="O763" s="314">
        <v>69550523</v>
      </c>
      <c r="P763" s="314" t="s">
        <v>557</v>
      </c>
      <c r="Q763" s="314"/>
      <c r="R763" s="314"/>
      <c r="S763" s="314"/>
      <c r="T763" s="314"/>
      <c r="U763" s="325"/>
      <c r="V763" s="325"/>
      <c r="W763" s="325"/>
    </row>
    <row r="764" spans="1:25" x14ac:dyDescent="0.45">
      <c r="A764" s="313">
        <v>11</v>
      </c>
      <c r="B764" s="427" t="s">
        <v>2145</v>
      </c>
      <c r="C764" s="312"/>
      <c r="D764" s="314">
        <v>77188486</v>
      </c>
      <c r="E764" s="45"/>
      <c r="F764" s="314">
        <v>73083050</v>
      </c>
      <c r="G764" s="314"/>
      <c r="H764" s="314">
        <v>3308998</v>
      </c>
      <c r="I764" s="314"/>
      <c r="J764" s="314">
        <v>796439</v>
      </c>
      <c r="K764" s="314">
        <v>415273</v>
      </c>
      <c r="L764" s="314">
        <v>381166</v>
      </c>
      <c r="M764" s="314"/>
      <c r="N764" s="314"/>
      <c r="O764" s="314">
        <v>77188486</v>
      </c>
      <c r="P764" s="314" t="s">
        <v>557</v>
      </c>
      <c r="Q764" s="314"/>
      <c r="R764" s="314"/>
      <c r="S764" s="314"/>
      <c r="T764" s="314"/>
      <c r="U764" s="325"/>
      <c r="V764" s="320"/>
      <c r="W764" s="320"/>
    </row>
    <row r="765" spans="1:25" x14ac:dyDescent="0.45">
      <c r="A765" s="313">
        <v>12</v>
      </c>
      <c r="B765" s="427" t="s">
        <v>2027</v>
      </c>
      <c r="C765" s="425" t="s">
        <v>1427</v>
      </c>
      <c r="D765" s="314">
        <v>0</v>
      </c>
      <c r="E765" s="45"/>
      <c r="F765" s="314">
        <v>0</v>
      </c>
      <c r="G765" s="314"/>
      <c r="H765" s="314">
        <v>0</v>
      </c>
      <c r="I765" s="314"/>
      <c r="J765" s="314">
        <v>0</v>
      </c>
      <c r="K765" s="314">
        <v>0</v>
      </c>
      <c r="L765" s="314">
        <v>0</v>
      </c>
      <c r="M765" s="314"/>
      <c r="N765" s="314"/>
      <c r="O765" s="314">
        <v>0</v>
      </c>
      <c r="P765" s="314" t="s">
        <v>557</v>
      </c>
      <c r="Q765" s="314"/>
      <c r="R765" s="314"/>
      <c r="S765" s="314"/>
      <c r="T765" s="314"/>
      <c r="U765" s="325"/>
      <c r="V765" s="325"/>
      <c r="W765" s="325"/>
    </row>
    <row r="766" spans="1:25" x14ac:dyDescent="0.45">
      <c r="A766" s="313">
        <v>13</v>
      </c>
      <c r="B766" s="427" t="s">
        <v>2028</v>
      </c>
      <c r="C766" s="312"/>
      <c r="D766" s="314">
        <v>267920720</v>
      </c>
      <c r="E766" s="45"/>
      <c r="F766" s="314">
        <v>252556718</v>
      </c>
      <c r="G766" s="314"/>
      <c r="H766" s="314">
        <v>12383444</v>
      </c>
      <c r="I766" s="314"/>
      <c r="J766" s="314">
        <v>2980558</v>
      </c>
      <c r="K766" s="314">
        <v>1554098</v>
      </c>
      <c r="L766" s="314">
        <v>1426460</v>
      </c>
      <c r="M766" s="314"/>
      <c r="N766" s="314"/>
      <c r="O766" s="314"/>
      <c r="P766" s="314" t="s">
        <v>557</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2029</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2030</v>
      </c>
      <c r="C769" s="425" t="s">
        <v>1270</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2031</v>
      </c>
      <c r="C770" s="425" t="s">
        <v>1850</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2032</v>
      </c>
      <c r="C771" s="428" t="s">
        <v>2190</v>
      </c>
      <c r="D771" s="314">
        <v>1471422</v>
      </c>
      <c r="E771" s="45"/>
      <c r="F771" s="314">
        <v>906481</v>
      </c>
      <c r="G771" s="314"/>
      <c r="H771" s="314">
        <v>564941</v>
      </c>
      <c r="I771" s="314"/>
      <c r="J771" s="314">
        <v>0</v>
      </c>
      <c r="K771" s="314">
        <v>0</v>
      </c>
      <c r="L771" s="314">
        <v>0</v>
      </c>
      <c r="M771" s="314"/>
      <c r="N771" s="314"/>
      <c r="O771" s="314">
        <v>1471422</v>
      </c>
      <c r="P771" s="314"/>
      <c r="Q771" s="314" t="s">
        <v>2280</v>
      </c>
      <c r="R771" s="314"/>
      <c r="S771" s="314"/>
      <c r="T771" s="314"/>
      <c r="U771" s="325"/>
      <c r="V771" s="320"/>
      <c r="W771" s="320"/>
      <c r="X771" s="320"/>
      <c r="Y771" s="320"/>
    </row>
    <row r="772" spans="1:25" x14ac:dyDescent="0.45">
      <c r="A772" s="313">
        <v>17</v>
      </c>
      <c r="B772" s="427" t="s">
        <v>1124</v>
      </c>
      <c r="C772" s="425" t="s">
        <v>1427</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2033</v>
      </c>
      <c r="C773" s="45"/>
      <c r="D773" s="314">
        <v>1780963</v>
      </c>
      <c r="E773" s="45"/>
      <c r="F773" s="314">
        <v>1196866</v>
      </c>
      <c r="G773" s="314"/>
      <c r="H773" s="314">
        <v>578092</v>
      </c>
      <c r="I773" s="314"/>
      <c r="J773" s="314">
        <v>6006</v>
      </c>
      <c r="K773" s="314">
        <v>3046</v>
      </c>
      <c r="L773" s="314">
        <v>2959</v>
      </c>
      <c r="M773" s="314"/>
      <c r="N773" s="314"/>
      <c r="O773" s="314">
        <v>1780963</v>
      </c>
      <c r="P773" s="314" t="s">
        <v>557</v>
      </c>
      <c r="Q773" s="314" t="s">
        <v>557</v>
      </c>
      <c r="R773" s="314" t="s">
        <v>2034</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1347</v>
      </c>
      <c r="C775" s="312"/>
      <c r="D775" s="314">
        <v>10907444068</v>
      </c>
      <c r="E775" s="45"/>
      <c r="F775" s="314">
        <v>10194926070</v>
      </c>
      <c r="G775" s="314"/>
      <c r="H775" s="314">
        <v>568609349</v>
      </c>
      <c r="I775" s="314"/>
      <c r="J775" s="314">
        <v>143908648</v>
      </c>
      <c r="K775" s="314">
        <v>75298903</v>
      </c>
      <c r="L775" s="314">
        <v>68609745</v>
      </c>
      <c r="M775" s="314"/>
      <c r="N775" s="314"/>
      <c r="O775" s="314"/>
      <c r="P775" s="314" t="s">
        <v>557</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1072</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1429</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1272</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1278</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557</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1433</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1272</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1278</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557</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1435</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1272</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1278</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557</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1068</v>
      </c>
      <c r="C803" s="425" t="s">
        <v>2142</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1071</v>
      </c>
      <c r="C804" s="425" t="s">
        <v>1345</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1059</v>
      </c>
      <c r="C805" s="425" t="s">
        <v>1272</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1060</v>
      </c>
      <c r="C806" s="425" t="s">
        <v>1278</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557</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2035</v>
      </c>
      <c r="C809" s="425" t="s">
        <v>1367</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2036</v>
      </c>
      <c r="C810" s="425" t="s">
        <v>1445</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557</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1447</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1916</v>
      </c>
      <c r="D815" s="314">
        <v>65014</v>
      </c>
      <c r="E815" s="45"/>
      <c r="F815" s="314">
        <v>65014</v>
      </c>
      <c r="G815" s="314"/>
      <c r="H815" s="314">
        <v>0</v>
      </c>
      <c r="I815" s="314"/>
      <c r="J815" s="314">
        <v>0</v>
      </c>
      <c r="K815" s="314">
        <v>0</v>
      </c>
      <c r="L815" s="314">
        <v>0</v>
      </c>
      <c r="M815" s="314"/>
      <c r="N815" s="314"/>
      <c r="O815" s="314">
        <v>65014</v>
      </c>
      <c r="P815" s="314"/>
      <c r="Q815" s="314" t="s">
        <v>2037</v>
      </c>
      <c r="R815" s="314"/>
      <c r="S815" s="314"/>
      <c r="T815" s="314"/>
      <c r="U815" s="320"/>
      <c r="V815" s="355"/>
      <c r="W815" s="320"/>
      <c r="X815" s="320"/>
      <c r="Y815" s="320"/>
    </row>
    <row r="816" spans="1:25" x14ac:dyDescent="0.45">
      <c r="A816" s="313">
        <v>24</v>
      </c>
      <c r="B816" s="424" t="s">
        <v>24</v>
      </c>
      <c r="C816" s="428" t="s">
        <v>1917</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557</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1114</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1115</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1116</v>
      </c>
      <c r="C829" s="425" t="s">
        <v>1272</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1117</v>
      </c>
      <c r="C830" s="425" t="s">
        <v>1278</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1118</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1115</v>
      </c>
      <c r="C834" s="425" t="s">
        <v>2142</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1119</v>
      </c>
      <c r="C835" s="425" t="s">
        <v>2142</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1120</v>
      </c>
      <c r="C836" s="425" t="s">
        <v>1439</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1116</v>
      </c>
      <c r="C837" s="425" t="s">
        <v>1272</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1117</v>
      </c>
      <c r="C838" s="425" t="s">
        <v>1278</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1121</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1122</v>
      </c>
      <c r="C841" s="425" t="s">
        <v>1369</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2038</v>
      </c>
      <c r="C842" s="425" t="s">
        <v>1350</v>
      </c>
      <c r="D842" s="314">
        <v>26142701</v>
      </c>
      <c r="E842" s="45"/>
      <c r="F842" s="314">
        <v>26142701</v>
      </c>
      <c r="G842" s="314"/>
      <c r="H842" s="314">
        <v>0</v>
      </c>
      <c r="I842" s="314"/>
      <c r="J842" s="314">
        <v>0</v>
      </c>
      <c r="K842" s="314">
        <v>0</v>
      </c>
      <c r="L842" s="314">
        <v>0</v>
      </c>
      <c r="M842" s="314"/>
      <c r="N842" s="314"/>
      <c r="O842" s="314">
        <v>26142701</v>
      </c>
      <c r="P842" s="314"/>
      <c r="Q842" s="314" t="s">
        <v>2146</v>
      </c>
      <c r="R842" s="314"/>
      <c r="S842" s="314"/>
      <c r="T842" s="314"/>
      <c r="U842" s="320"/>
      <c r="V842" s="317"/>
      <c r="X842" s="320"/>
      <c r="Y842" s="320"/>
    </row>
    <row r="843" spans="1:25" x14ac:dyDescent="0.45">
      <c r="A843" s="313">
        <v>13</v>
      </c>
      <c r="B843" s="427" t="s">
        <v>2533</v>
      </c>
      <c r="C843" s="425" t="s">
        <v>2528</v>
      </c>
      <c r="D843" s="458">
        <v>1748318</v>
      </c>
      <c r="E843" s="45"/>
      <c r="F843" s="314">
        <v>1640394</v>
      </c>
      <c r="G843" s="314"/>
      <c r="H843" s="314">
        <v>87494</v>
      </c>
      <c r="I843" s="314"/>
      <c r="J843" s="314">
        <v>20430</v>
      </c>
      <c r="K843" s="314">
        <v>20430</v>
      </c>
      <c r="L843" s="314">
        <v>0</v>
      </c>
      <c r="M843" s="314"/>
      <c r="N843" s="314"/>
      <c r="O843" s="314">
        <v>1748318</v>
      </c>
      <c r="P843" s="314"/>
      <c r="Q843" s="314"/>
      <c r="R843" s="314" t="s">
        <v>2290</v>
      </c>
      <c r="S843" s="314" t="s">
        <v>2291</v>
      </c>
      <c r="T843" s="314" t="s">
        <v>2534</v>
      </c>
      <c r="U843" s="320" t="s">
        <v>2535</v>
      </c>
      <c r="V843" s="317"/>
      <c r="X843" s="320"/>
      <c r="Y843" s="320"/>
    </row>
    <row r="844" spans="1:25" x14ac:dyDescent="0.45">
      <c r="A844" s="313">
        <v>14</v>
      </c>
      <c r="B844" s="424" t="s">
        <v>2536</v>
      </c>
      <c r="C844" s="45" t="s">
        <v>2065</v>
      </c>
      <c r="D844" s="314">
        <v>24594</v>
      </c>
      <c r="E844" s="45"/>
      <c r="F844" s="314">
        <v>23417</v>
      </c>
      <c r="G844" s="314"/>
      <c r="H844" s="314">
        <v>1178</v>
      </c>
      <c r="I844" s="314"/>
      <c r="J844" s="314">
        <v>0</v>
      </c>
      <c r="K844" s="314">
        <v>0</v>
      </c>
      <c r="L844" s="314" t="s">
        <v>2537</v>
      </c>
      <c r="M844" s="314"/>
      <c r="N844" s="314"/>
      <c r="O844" s="314">
        <v>24594</v>
      </c>
      <c r="P844" s="314"/>
      <c r="Q844" s="314" t="s">
        <v>2538</v>
      </c>
      <c r="R844" s="314">
        <v>23417</v>
      </c>
      <c r="S844" s="314">
        <v>1178</v>
      </c>
      <c r="T844" s="314">
        <v>0</v>
      </c>
      <c r="U844" s="320" t="s">
        <v>2537</v>
      </c>
      <c r="W844" s="320"/>
    </row>
    <row r="845" spans="1:25" x14ac:dyDescent="0.45">
      <c r="A845" s="45">
        <v>15</v>
      </c>
      <c r="B845" s="45" t="s">
        <v>1123</v>
      </c>
      <c r="C845" s="45"/>
      <c r="D845" s="492">
        <v>28541419</v>
      </c>
      <c r="E845" s="45"/>
      <c r="F845" s="314">
        <v>27806511</v>
      </c>
      <c r="G845" s="314"/>
      <c r="H845" s="314">
        <v>714477</v>
      </c>
      <c r="I845" s="314"/>
      <c r="J845" s="314">
        <v>20430</v>
      </c>
      <c r="K845" s="314">
        <v>20430</v>
      </c>
      <c r="L845" s="314">
        <v>0</v>
      </c>
      <c r="M845" s="314"/>
      <c r="N845" s="314"/>
      <c r="O845" s="314"/>
      <c r="P845" s="314"/>
      <c r="Q845" s="314" t="s">
        <v>2539</v>
      </c>
      <c r="R845" s="314">
        <v>134527</v>
      </c>
      <c r="S845" s="314">
        <v>7277</v>
      </c>
      <c r="T845" s="314">
        <v>2054</v>
      </c>
      <c r="U845" s="53" t="s">
        <v>2537</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2508</v>
      </c>
      <c r="C847" s="425" t="s">
        <v>2528</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2540</v>
      </c>
      <c r="C848" s="425" t="s">
        <v>2065</v>
      </c>
      <c r="D848" s="314">
        <v>143857</v>
      </c>
      <c r="E848" s="45"/>
      <c r="F848" s="314">
        <v>134527</v>
      </c>
      <c r="G848" s="314"/>
      <c r="H848" s="314">
        <v>7277</v>
      </c>
      <c r="I848" s="314"/>
      <c r="J848" s="314">
        <v>2054</v>
      </c>
      <c r="K848" s="314">
        <v>2054</v>
      </c>
      <c r="L848" s="314" t="s">
        <v>2537</v>
      </c>
      <c r="M848" s="314"/>
      <c r="N848" s="314"/>
      <c r="O848" s="314">
        <v>143857</v>
      </c>
      <c r="P848" s="314"/>
      <c r="Q848" s="314"/>
      <c r="R848" s="314"/>
      <c r="S848" s="314"/>
      <c r="T848" s="314"/>
      <c r="U848" s="320"/>
      <c r="V848" s="320"/>
      <c r="W848" s="327"/>
      <c r="X848" s="327"/>
      <c r="Y848" s="342"/>
    </row>
    <row r="849" spans="1:26" x14ac:dyDescent="0.45">
      <c r="A849" s="45">
        <v>18</v>
      </c>
      <c r="B849" s="45" t="s">
        <v>1124</v>
      </c>
      <c r="C849" s="45" t="s">
        <v>1447</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2509</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1125</v>
      </c>
      <c r="C852" s="312"/>
      <c r="D852" s="492">
        <v>296834854</v>
      </c>
      <c r="E852" s="45"/>
      <c r="F852" s="314">
        <v>269886192</v>
      </c>
      <c r="G852" s="314"/>
      <c r="H852" s="314">
        <v>23811187</v>
      </c>
      <c r="I852" s="314"/>
      <c r="J852" s="314">
        <v>3137474</v>
      </c>
      <c r="K852" s="314">
        <v>1653794</v>
      </c>
      <c r="L852" s="314">
        <v>1483680</v>
      </c>
      <c r="M852" s="314"/>
      <c r="N852" s="314"/>
      <c r="O852" s="314"/>
      <c r="P852" s="314" t="s">
        <v>557</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1126</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564</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565</v>
      </c>
      <c r="C856" s="425" t="s">
        <v>1378</v>
      </c>
      <c r="D856" s="314">
        <v>66398898</v>
      </c>
      <c r="E856" s="45"/>
      <c r="F856" s="314">
        <v>62536188</v>
      </c>
      <c r="G856" s="314"/>
      <c r="H856" s="314">
        <v>2511431</v>
      </c>
      <c r="I856" s="314"/>
      <c r="J856" s="314">
        <v>1351279</v>
      </c>
      <c r="K856" s="314">
        <v>693576</v>
      </c>
      <c r="L856" s="314">
        <v>657702</v>
      </c>
      <c r="M856" s="314"/>
      <c r="N856" s="314"/>
      <c r="O856" s="314">
        <v>66398898</v>
      </c>
      <c r="P856" s="314"/>
      <c r="Q856" s="314" t="s">
        <v>566</v>
      </c>
      <c r="R856" s="314"/>
      <c r="S856" s="314">
        <v>69649757</v>
      </c>
      <c r="T856" s="314" t="s">
        <v>2510</v>
      </c>
      <c r="U856" s="320" t="s">
        <v>1771</v>
      </c>
      <c r="V856" s="320"/>
      <c r="W856" s="320"/>
      <c r="X856" s="314"/>
      <c r="Y856" s="355"/>
      <c r="Z856" s="320"/>
    </row>
    <row r="857" spans="1:26" x14ac:dyDescent="0.45">
      <c r="A857" s="313"/>
      <c r="B857" s="424" t="s">
        <v>567</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568</v>
      </c>
      <c r="C858" s="425" t="s">
        <v>913</v>
      </c>
      <c r="D858" s="314">
        <v>34928289</v>
      </c>
      <c r="E858" s="45"/>
      <c r="F858" s="314">
        <v>32744834</v>
      </c>
      <c r="G858" s="314"/>
      <c r="H858" s="314">
        <v>1493303</v>
      </c>
      <c r="I858" s="314"/>
      <c r="J858" s="314">
        <v>690152</v>
      </c>
      <c r="K858" s="314">
        <v>350084</v>
      </c>
      <c r="L858" s="314">
        <v>340068</v>
      </c>
      <c r="M858" s="314"/>
      <c r="N858" s="314"/>
      <c r="O858" s="314">
        <v>34928289</v>
      </c>
      <c r="P858" s="314"/>
      <c r="Q858" s="314" t="s">
        <v>566</v>
      </c>
      <c r="R858" s="314"/>
      <c r="S858" s="314">
        <v>34467861</v>
      </c>
      <c r="T858" s="314" t="s">
        <v>2510</v>
      </c>
      <c r="U858" s="320" t="s">
        <v>1771</v>
      </c>
      <c r="V858" s="320"/>
      <c r="W858" s="320"/>
      <c r="X858" s="314"/>
      <c r="Y858" s="355"/>
      <c r="Z858" s="320"/>
    </row>
    <row r="859" spans="1:26" x14ac:dyDescent="0.45">
      <c r="A859" s="313">
        <v>23</v>
      </c>
      <c r="B859" s="424" t="s">
        <v>569</v>
      </c>
      <c r="C859" s="425" t="s">
        <v>2135</v>
      </c>
      <c r="D859" s="314">
        <v>15886349</v>
      </c>
      <c r="E859" s="45"/>
      <c r="F859" s="314">
        <v>14185824</v>
      </c>
      <c r="G859" s="314"/>
      <c r="H859" s="314">
        <v>1700524</v>
      </c>
      <c r="I859" s="314"/>
      <c r="J859" s="314">
        <v>0</v>
      </c>
      <c r="K859" s="314">
        <v>0</v>
      </c>
      <c r="L859" s="314">
        <v>0</v>
      </c>
      <c r="M859" s="314"/>
      <c r="N859" s="314"/>
      <c r="O859" s="314">
        <v>15886349</v>
      </c>
      <c r="P859" s="314"/>
      <c r="Q859" s="314" t="s">
        <v>566</v>
      </c>
      <c r="R859" s="314"/>
      <c r="S859" s="314">
        <v>15676662</v>
      </c>
      <c r="T859" s="314" t="s">
        <v>2510</v>
      </c>
      <c r="U859" s="320" t="s">
        <v>1771</v>
      </c>
      <c r="V859" s="320"/>
      <c r="W859" s="320"/>
      <c r="X859" s="314"/>
      <c r="Y859" s="355"/>
      <c r="Z859" s="320"/>
    </row>
    <row r="860" spans="1:26" x14ac:dyDescent="0.45">
      <c r="A860" s="313">
        <v>24</v>
      </c>
      <c r="B860" s="424" t="s">
        <v>0</v>
      </c>
      <c r="C860" s="428" t="s">
        <v>1443</v>
      </c>
      <c r="D860" s="314">
        <v>10423311</v>
      </c>
      <c r="E860" s="45"/>
      <c r="F860" s="314">
        <v>9922422</v>
      </c>
      <c r="G860" s="314"/>
      <c r="H860" s="314">
        <v>484856</v>
      </c>
      <c r="I860" s="314"/>
      <c r="J860" s="314">
        <v>16033</v>
      </c>
      <c r="K860" s="314">
        <v>15911</v>
      </c>
      <c r="L860" s="314">
        <v>122</v>
      </c>
      <c r="M860" s="314"/>
      <c r="N860" s="314"/>
      <c r="O860" s="314">
        <v>10423311</v>
      </c>
      <c r="P860" s="314"/>
      <c r="Q860" s="314" t="s">
        <v>566</v>
      </c>
      <c r="R860" s="314"/>
      <c r="S860" s="314">
        <v>10286096</v>
      </c>
      <c r="T860" s="314" t="s">
        <v>2510</v>
      </c>
      <c r="U860" s="320" t="s">
        <v>1771</v>
      </c>
      <c r="V860" s="320"/>
      <c r="W860" s="320"/>
      <c r="X860" s="314"/>
      <c r="Y860" s="355"/>
      <c r="Z860" s="320"/>
    </row>
    <row r="861" spans="1:26" x14ac:dyDescent="0.45">
      <c r="A861" s="313">
        <v>25</v>
      </c>
      <c r="B861" s="424" t="s">
        <v>570</v>
      </c>
      <c r="C861" s="312" t="s">
        <v>1447</v>
      </c>
      <c r="D861" s="314">
        <v>0</v>
      </c>
      <c r="E861" s="45"/>
      <c r="F861" s="314">
        <v>0</v>
      </c>
      <c r="G861" s="314"/>
      <c r="H861" s="314">
        <v>0</v>
      </c>
      <c r="I861" s="314"/>
      <c r="J861" s="314">
        <v>0</v>
      </c>
      <c r="K861" s="314">
        <v>0</v>
      </c>
      <c r="L861" s="314">
        <v>0</v>
      </c>
      <c r="M861" s="314"/>
      <c r="N861" s="314"/>
      <c r="O861" s="314">
        <v>0</v>
      </c>
      <c r="P861" s="314"/>
      <c r="Q861" s="314" t="s">
        <v>566</v>
      </c>
      <c r="R861" s="314"/>
      <c r="S861" s="314">
        <v>0</v>
      </c>
      <c r="T861" s="314" t="s">
        <v>2510</v>
      </c>
      <c r="U861" s="53" t="s">
        <v>1771</v>
      </c>
      <c r="W861" s="320"/>
      <c r="X861" s="314"/>
    </row>
    <row r="862" spans="1:26" x14ac:dyDescent="0.45">
      <c r="A862" s="313">
        <v>26</v>
      </c>
      <c r="B862" s="424" t="s">
        <v>571</v>
      </c>
      <c r="C862" s="312" t="s">
        <v>917</v>
      </c>
      <c r="D862" s="314">
        <v>3271987</v>
      </c>
      <c r="E862" s="45"/>
      <c r="F862" s="314">
        <v>3037700</v>
      </c>
      <c r="G862" s="314"/>
      <c r="H862" s="314">
        <v>196555</v>
      </c>
      <c r="I862" s="314"/>
      <c r="J862" s="314">
        <v>37732</v>
      </c>
      <c r="K862" s="314">
        <v>19555</v>
      </c>
      <c r="L862" s="314">
        <v>18177</v>
      </c>
      <c r="M862" s="314"/>
      <c r="N862" s="314"/>
      <c r="O862" s="314">
        <v>3271987</v>
      </c>
      <c r="P862" s="314"/>
      <c r="Q862" s="314" t="s">
        <v>566</v>
      </c>
      <c r="R862" s="314"/>
      <c r="S862" s="314">
        <v>3271987</v>
      </c>
      <c r="T862" s="314" t="s">
        <v>2510</v>
      </c>
      <c r="U862" s="53" t="s">
        <v>1771</v>
      </c>
      <c r="W862" s="320"/>
      <c r="X862" s="314"/>
    </row>
    <row r="863" spans="1:26" x14ac:dyDescent="0.45">
      <c r="A863" s="45">
        <v>27</v>
      </c>
      <c r="B863" s="45" t="s">
        <v>572</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573</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574</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2039</v>
      </c>
      <c r="C867" s="312" t="s">
        <v>1918</v>
      </c>
      <c r="D867" s="314">
        <v>19279557</v>
      </c>
      <c r="E867" s="45"/>
      <c r="F867" s="314">
        <v>19024116</v>
      </c>
      <c r="G867" s="314"/>
      <c r="H867" s="314">
        <v>0</v>
      </c>
      <c r="I867" s="314"/>
      <c r="J867" s="314">
        <v>255440</v>
      </c>
      <c r="K867" s="314">
        <v>133507</v>
      </c>
      <c r="L867" s="314">
        <v>121933</v>
      </c>
      <c r="M867" s="314"/>
      <c r="N867" s="314"/>
      <c r="O867" s="314">
        <v>20305521</v>
      </c>
      <c r="P867" s="314"/>
      <c r="Q867" s="314" t="s">
        <v>566</v>
      </c>
      <c r="R867" s="314"/>
      <c r="S867" s="314">
        <v>22059959</v>
      </c>
      <c r="T867" s="314" t="s">
        <v>2510</v>
      </c>
      <c r="U867" s="53" t="s">
        <v>1771</v>
      </c>
      <c r="V867" s="355"/>
      <c r="W867" s="320"/>
      <c r="X867" s="314"/>
    </row>
    <row r="868" spans="1:26" x14ac:dyDescent="0.45">
      <c r="A868" s="45">
        <v>30</v>
      </c>
      <c r="B868" s="45" t="s">
        <v>575</v>
      </c>
      <c r="C868" s="312" t="s">
        <v>1919</v>
      </c>
      <c r="D868" s="45">
        <v>0</v>
      </c>
      <c r="E868" s="45"/>
      <c r="F868" s="314">
        <v>0</v>
      </c>
      <c r="G868" s="314"/>
      <c r="H868" s="314">
        <v>0</v>
      </c>
      <c r="I868" s="314"/>
      <c r="J868" s="314">
        <v>0</v>
      </c>
      <c r="K868" s="314">
        <v>0</v>
      </c>
      <c r="L868" s="314">
        <v>0</v>
      </c>
      <c r="M868" s="314"/>
      <c r="N868" s="314"/>
      <c r="O868" s="314">
        <v>0</v>
      </c>
      <c r="P868" s="314" t="s">
        <v>2195</v>
      </c>
      <c r="Q868" s="314"/>
      <c r="R868" s="314"/>
      <c r="S868" s="314">
        <v>0</v>
      </c>
      <c r="T868" s="314" t="s">
        <v>2510</v>
      </c>
      <c r="U868" s="53" t="s">
        <v>1771</v>
      </c>
      <c r="W868" s="320"/>
      <c r="X868" s="314"/>
    </row>
    <row r="869" spans="1:26" x14ac:dyDescent="0.45">
      <c r="A869" s="313">
        <v>31</v>
      </c>
      <c r="B869" s="424" t="s">
        <v>576</v>
      </c>
      <c r="C869" s="45"/>
      <c r="D869" s="314">
        <v>19279557</v>
      </c>
      <c r="E869" s="45"/>
      <c r="F869" s="314">
        <v>19024116</v>
      </c>
      <c r="G869" s="314"/>
      <c r="H869" s="314">
        <v>0</v>
      </c>
      <c r="I869" s="314"/>
      <c r="J869" s="314">
        <v>255440</v>
      </c>
      <c r="K869" s="314">
        <v>133507</v>
      </c>
      <c r="L869" s="314">
        <v>121933</v>
      </c>
      <c r="M869" s="314"/>
      <c r="N869" s="314"/>
      <c r="O869" s="314"/>
      <c r="P869" s="314"/>
      <c r="Q869" s="314" t="s">
        <v>2228</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577</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2281</v>
      </c>
      <c r="Q871" s="314" t="s">
        <v>1772</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2282</v>
      </c>
      <c r="R872" s="314"/>
      <c r="S872" s="314"/>
      <c r="T872" s="314"/>
      <c r="W872" s="320"/>
    </row>
    <row r="873" spans="1:26" x14ac:dyDescent="0.45">
      <c r="A873" s="313">
        <v>33</v>
      </c>
      <c r="B873" s="424" t="s">
        <v>578</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2283</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579</v>
      </c>
      <c r="C875" s="425" t="s">
        <v>1270</v>
      </c>
      <c r="D875" s="314">
        <v>124310</v>
      </c>
      <c r="E875" s="45"/>
      <c r="F875" s="314">
        <v>116617</v>
      </c>
      <c r="G875" s="314"/>
      <c r="H875" s="314">
        <v>5281</v>
      </c>
      <c r="I875" s="314"/>
      <c r="J875" s="314">
        <v>2412</v>
      </c>
      <c r="K875" s="314">
        <v>1223</v>
      </c>
      <c r="L875" s="314">
        <v>1188</v>
      </c>
      <c r="M875" s="314"/>
      <c r="N875" s="314"/>
      <c r="O875" s="314">
        <v>124310</v>
      </c>
      <c r="P875" s="314"/>
      <c r="Q875" s="314" t="s">
        <v>566</v>
      </c>
      <c r="R875" s="314"/>
      <c r="S875" s="314">
        <v>124310</v>
      </c>
      <c r="T875" s="314" t="s">
        <v>2510</v>
      </c>
      <c r="U875" s="320" t="s">
        <v>1771</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2284</v>
      </c>
      <c r="C877" s="312" t="s">
        <v>1270</v>
      </c>
      <c r="D877" s="314">
        <v>183002470</v>
      </c>
      <c r="E877" s="45"/>
      <c r="F877" s="314">
        <v>174570689</v>
      </c>
      <c r="G877" s="314"/>
      <c r="H877" s="314">
        <v>6196953</v>
      </c>
      <c r="I877" s="314"/>
      <c r="J877" s="314">
        <v>2234828</v>
      </c>
      <c r="K877" s="314">
        <v>1133630</v>
      </c>
      <c r="L877" s="314">
        <v>1101198</v>
      </c>
      <c r="M877" s="314"/>
      <c r="N877" s="314"/>
      <c r="O877" s="314">
        <v>221435060</v>
      </c>
      <c r="P877" s="314" t="s">
        <v>2474</v>
      </c>
      <c r="Q877" s="314">
        <v>174570689</v>
      </c>
      <c r="R877" s="314" t="s">
        <v>2475</v>
      </c>
      <c r="S877" s="314"/>
      <c r="T877" s="314" t="s">
        <v>2476</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2285</v>
      </c>
      <c r="Q878" s="314">
        <v>-3210743</v>
      </c>
      <c r="R878" s="314"/>
      <c r="S878" s="314"/>
      <c r="T878" s="314"/>
      <c r="V878" s="314"/>
      <c r="W878" s="320"/>
      <c r="X878" s="320"/>
    </row>
    <row r="879" spans="1:26" x14ac:dyDescent="0.45">
      <c r="A879" s="45">
        <v>36</v>
      </c>
      <c r="B879" s="45" t="s">
        <v>580</v>
      </c>
      <c r="C879" s="312"/>
      <c r="D879" s="492">
        <v>771288227</v>
      </c>
      <c r="E879" s="45"/>
      <c r="F879" s="314">
        <v>715958458</v>
      </c>
      <c r="G879" s="314"/>
      <c r="H879" s="314">
        <v>45935760</v>
      </c>
      <c r="I879" s="314"/>
      <c r="J879" s="314">
        <v>9394009</v>
      </c>
      <c r="K879" s="314">
        <v>4860719</v>
      </c>
      <c r="L879" s="314">
        <v>4533290</v>
      </c>
      <c r="M879" s="314"/>
      <c r="N879" s="314"/>
      <c r="O879" s="314"/>
      <c r="P879" s="314" t="s">
        <v>2286</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2058</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581</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582</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1115</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583</v>
      </c>
      <c r="R887" s="314"/>
      <c r="S887" s="314"/>
      <c r="T887" s="314"/>
      <c r="U887" s="320"/>
      <c r="V887" s="320"/>
      <c r="W887" s="320"/>
      <c r="X887" s="320"/>
      <c r="Y887" s="320"/>
    </row>
    <row r="888" spans="1:25" x14ac:dyDescent="0.45">
      <c r="A888" s="313">
        <v>2</v>
      </c>
      <c r="B888" s="424" t="s">
        <v>1116</v>
      </c>
      <c r="C888" s="425" t="s">
        <v>1272</v>
      </c>
      <c r="D888" s="314">
        <v>9721</v>
      </c>
      <c r="E888" s="45"/>
      <c r="F888" s="314">
        <v>5000</v>
      </c>
      <c r="G888" s="314"/>
      <c r="H888" s="314">
        <v>3241</v>
      </c>
      <c r="I888" s="314"/>
      <c r="J888" s="314">
        <v>1480</v>
      </c>
      <c r="K888" s="314">
        <v>751</v>
      </c>
      <c r="L888" s="314">
        <v>729</v>
      </c>
      <c r="M888" s="314"/>
      <c r="N888" s="314"/>
      <c r="O888" s="314">
        <v>9721</v>
      </c>
      <c r="P888" s="314"/>
      <c r="Q888" s="314" t="s">
        <v>583</v>
      </c>
      <c r="R888" s="314"/>
      <c r="S888" s="314"/>
      <c r="T888" s="314"/>
      <c r="U888" s="320"/>
      <c r="V888" s="320"/>
      <c r="W888" s="320"/>
      <c r="X888" s="320"/>
      <c r="Y888" s="320"/>
    </row>
    <row r="889" spans="1:25" x14ac:dyDescent="0.45">
      <c r="A889" s="313">
        <v>3</v>
      </c>
      <c r="B889" s="424" t="s">
        <v>1117</v>
      </c>
      <c r="C889" s="425" t="s">
        <v>1278</v>
      </c>
      <c r="D889" s="314">
        <v>256865</v>
      </c>
      <c r="E889" s="45"/>
      <c r="F889" s="314">
        <v>198200</v>
      </c>
      <c r="G889" s="314"/>
      <c r="H889" s="314">
        <v>0</v>
      </c>
      <c r="I889" s="314"/>
      <c r="J889" s="314">
        <v>58664</v>
      </c>
      <c r="K889" s="314">
        <v>29758</v>
      </c>
      <c r="L889" s="314">
        <v>28906</v>
      </c>
      <c r="M889" s="314"/>
      <c r="N889" s="314"/>
      <c r="O889" s="314">
        <v>256865</v>
      </c>
      <c r="P889" s="314"/>
      <c r="Q889" s="314" t="s">
        <v>583</v>
      </c>
      <c r="R889" s="314"/>
      <c r="S889" s="314"/>
      <c r="T889" s="314"/>
      <c r="U889" s="320"/>
      <c r="V889" s="320"/>
      <c r="W889" s="320"/>
      <c r="X889" s="320"/>
      <c r="Y889" s="320"/>
    </row>
    <row r="890" spans="1:25" x14ac:dyDescent="0.45">
      <c r="A890" s="313">
        <v>4</v>
      </c>
      <c r="B890" s="424" t="s">
        <v>1118</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1068</v>
      </c>
      <c r="C893" s="425" t="s">
        <v>2142</v>
      </c>
      <c r="D893" s="314">
        <v>207645636</v>
      </c>
      <c r="E893" s="45"/>
      <c r="F893" s="314">
        <v>198589241</v>
      </c>
      <c r="G893" s="314"/>
      <c r="H893" s="314">
        <v>9056395</v>
      </c>
      <c r="I893" s="314"/>
      <c r="J893" s="314">
        <v>0</v>
      </c>
      <c r="K893" s="314">
        <v>0</v>
      </c>
      <c r="L893" s="314">
        <v>0</v>
      </c>
      <c r="M893" s="314"/>
      <c r="N893" s="314"/>
      <c r="O893" s="314">
        <v>207645636</v>
      </c>
      <c r="P893" s="314"/>
      <c r="Q893" s="314" t="s">
        <v>583</v>
      </c>
      <c r="R893" s="314"/>
      <c r="S893" s="314"/>
      <c r="T893" s="314"/>
      <c r="U893" s="320"/>
      <c r="V893" s="320"/>
      <c r="W893" s="320"/>
      <c r="X893" s="320"/>
      <c r="Y893" s="320"/>
    </row>
    <row r="894" spans="1:25" x14ac:dyDescent="0.45">
      <c r="A894" s="313">
        <v>6</v>
      </c>
      <c r="B894" s="424" t="s">
        <v>1069</v>
      </c>
      <c r="C894" s="425" t="s">
        <v>2133</v>
      </c>
      <c r="D894" s="314">
        <v>0</v>
      </c>
      <c r="E894" s="45"/>
      <c r="F894" s="314">
        <v>0</v>
      </c>
      <c r="G894" s="314"/>
      <c r="H894" s="314">
        <v>0</v>
      </c>
      <c r="I894" s="314"/>
      <c r="J894" s="314">
        <v>0</v>
      </c>
      <c r="K894" s="314">
        <v>0</v>
      </c>
      <c r="L894" s="314">
        <v>0</v>
      </c>
      <c r="M894" s="314"/>
      <c r="N894" s="314"/>
      <c r="O894" s="314">
        <v>0</v>
      </c>
      <c r="P894" s="314"/>
      <c r="Q894" s="314" t="s">
        <v>583</v>
      </c>
      <c r="R894" s="314"/>
      <c r="S894" s="314"/>
      <c r="T894" s="314"/>
      <c r="U894" s="320"/>
      <c r="V894" s="320"/>
      <c r="W894" s="320"/>
      <c r="X894" s="320"/>
      <c r="Y894" s="320"/>
    </row>
    <row r="895" spans="1:25" x14ac:dyDescent="0.45">
      <c r="A895" s="313">
        <v>7</v>
      </c>
      <c r="B895" s="424" t="s">
        <v>584</v>
      </c>
      <c r="C895" s="425" t="s">
        <v>1439</v>
      </c>
      <c r="D895" s="314">
        <v>19080233</v>
      </c>
      <c r="E895" s="45"/>
      <c r="F895" s="314">
        <v>0</v>
      </c>
      <c r="G895" s="314"/>
      <c r="H895" s="314">
        <v>19080233</v>
      </c>
      <c r="I895" s="314"/>
      <c r="J895" s="314">
        <v>0</v>
      </c>
      <c r="K895" s="314">
        <v>0</v>
      </c>
      <c r="L895" s="314">
        <v>0</v>
      </c>
      <c r="M895" s="314"/>
      <c r="N895" s="314"/>
      <c r="O895" s="314">
        <v>19080233</v>
      </c>
      <c r="P895" s="314"/>
      <c r="Q895" s="314" t="s">
        <v>583</v>
      </c>
      <c r="R895" s="314"/>
      <c r="S895" s="314"/>
      <c r="T895" s="314"/>
      <c r="U895" s="320"/>
      <c r="V895" s="320"/>
      <c r="W895" s="320"/>
      <c r="X895" s="320"/>
      <c r="Y895" s="320"/>
    </row>
    <row r="896" spans="1:25" x14ac:dyDescent="0.45">
      <c r="A896" s="313">
        <v>8</v>
      </c>
      <c r="B896" s="424" t="s">
        <v>1059</v>
      </c>
      <c r="C896" s="425" t="s">
        <v>1272</v>
      </c>
      <c r="D896" s="314">
        <v>1715</v>
      </c>
      <c r="E896" s="45"/>
      <c r="F896" s="314">
        <v>882</v>
      </c>
      <c r="G896" s="314"/>
      <c r="H896" s="314">
        <v>572</v>
      </c>
      <c r="I896" s="314"/>
      <c r="J896" s="314">
        <v>261</v>
      </c>
      <c r="K896" s="314">
        <v>132</v>
      </c>
      <c r="L896" s="314">
        <v>129</v>
      </c>
      <c r="M896" s="314"/>
      <c r="N896" s="314"/>
      <c r="O896" s="314">
        <v>1715</v>
      </c>
      <c r="P896" s="314"/>
      <c r="Q896" s="314" t="s">
        <v>583</v>
      </c>
      <c r="R896" s="314"/>
      <c r="S896" s="314"/>
      <c r="T896" s="314"/>
      <c r="U896" s="320"/>
      <c r="V896" s="320"/>
      <c r="W896" s="320"/>
      <c r="X896" s="320"/>
      <c r="Y896" s="320"/>
    </row>
    <row r="897" spans="1:25" x14ac:dyDescent="0.45">
      <c r="A897" s="313">
        <v>9</v>
      </c>
      <c r="B897" s="424" t="s">
        <v>1060</v>
      </c>
      <c r="C897" s="425" t="s">
        <v>1278</v>
      </c>
      <c r="D897" s="314">
        <v>45329</v>
      </c>
      <c r="E897" s="45"/>
      <c r="F897" s="314">
        <v>34977</v>
      </c>
      <c r="G897" s="314"/>
      <c r="H897" s="314">
        <v>0</v>
      </c>
      <c r="I897" s="314"/>
      <c r="J897" s="314">
        <v>10353</v>
      </c>
      <c r="K897" s="314">
        <v>5251</v>
      </c>
      <c r="L897" s="314">
        <v>5101</v>
      </c>
      <c r="M897" s="314"/>
      <c r="N897" s="314"/>
      <c r="O897" s="314">
        <v>45329</v>
      </c>
      <c r="P897" s="314"/>
      <c r="Q897" s="314" t="s">
        <v>583</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585</v>
      </c>
      <c r="C900" s="425" t="s">
        <v>1370</v>
      </c>
      <c r="D900" s="314">
        <v>13190046</v>
      </c>
      <c r="E900" s="45"/>
      <c r="F900" s="314">
        <v>0</v>
      </c>
      <c r="G900" s="314"/>
      <c r="H900" s="314">
        <v>13190046</v>
      </c>
      <c r="I900" s="314"/>
      <c r="J900" s="314">
        <v>0</v>
      </c>
      <c r="K900" s="314">
        <v>0</v>
      </c>
      <c r="L900" s="314">
        <v>0</v>
      </c>
      <c r="M900" s="314"/>
      <c r="N900" s="314"/>
      <c r="O900" s="314">
        <v>13190046</v>
      </c>
      <c r="P900" s="314"/>
      <c r="Q900" s="314" t="s">
        <v>583</v>
      </c>
      <c r="R900" s="314"/>
      <c r="S900" s="314"/>
      <c r="T900" s="314"/>
      <c r="U900" s="320"/>
      <c r="V900" s="320"/>
      <c r="W900" s="320"/>
      <c r="X900" s="320"/>
      <c r="Y900" s="320"/>
    </row>
    <row r="901" spans="1:25" x14ac:dyDescent="0.45">
      <c r="A901" s="313">
        <v>12</v>
      </c>
      <c r="B901" s="424" t="s">
        <v>586</v>
      </c>
      <c r="C901" s="425" t="s">
        <v>939</v>
      </c>
      <c r="D901" s="314">
        <v>316962059</v>
      </c>
      <c r="E901" s="45"/>
      <c r="F901" s="314">
        <v>316450713</v>
      </c>
      <c r="G901" s="314"/>
      <c r="H901" s="314">
        <v>0</v>
      </c>
      <c r="I901" s="314"/>
      <c r="J901" s="314">
        <v>511346</v>
      </c>
      <c r="K901" s="314">
        <v>507455</v>
      </c>
      <c r="L901" s="314">
        <v>3891</v>
      </c>
      <c r="M901" s="314"/>
      <c r="N901" s="314"/>
      <c r="O901" s="314">
        <v>316962059</v>
      </c>
      <c r="P901" s="314"/>
      <c r="Q901" s="314" t="s">
        <v>583</v>
      </c>
      <c r="R901" s="314"/>
      <c r="S901" s="314"/>
      <c r="T901" s="314"/>
      <c r="U901" s="320"/>
      <c r="V901" s="320"/>
      <c r="W901" s="320"/>
      <c r="X901" s="320"/>
      <c r="Y901" s="320"/>
    </row>
    <row r="902" spans="1:25" x14ac:dyDescent="0.45">
      <c r="A902" s="313">
        <v>13</v>
      </c>
      <c r="B902" s="424" t="s">
        <v>2541</v>
      </c>
      <c r="C902" s="425" t="s">
        <v>2528</v>
      </c>
      <c r="D902" s="314">
        <v>6682</v>
      </c>
      <c r="E902" s="45"/>
      <c r="F902" s="314">
        <v>6269</v>
      </c>
      <c r="G902" s="314"/>
      <c r="H902" s="314">
        <v>334</v>
      </c>
      <c r="I902" s="314"/>
      <c r="J902" s="314">
        <v>78</v>
      </c>
      <c r="K902" s="314">
        <v>78</v>
      </c>
      <c r="L902" s="314">
        <v>0</v>
      </c>
      <c r="M902" s="314"/>
      <c r="N902" s="314"/>
      <c r="O902" s="314">
        <v>6682</v>
      </c>
      <c r="P902" s="314"/>
      <c r="Q902" s="314"/>
      <c r="R902" s="314"/>
      <c r="S902" s="314" t="s">
        <v>2542</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1124</v>
      </c>
      <c r="C905" s="425" t="s">
        <v>1447</v>
      </c>
      <c r="D905" s="314">
        <v>38034530</v>
      </c>
      <c r="E905" s="45"/>
      <c r="F905" s="314">
        <v>35853428</v>
      </c>
      <c r="G905" s="314"/>
      <c r="H905" s="314">
        <v>1757977</v>
      </c>
      <c r="I905" s="314"/>
      <c r="J905" s="314">
        <v>423126</v>
      </c>
      <c r="K905" s="314">
        <v>220623</v>
      </c>
      <c r="L905" s="314">
        <v>202503</v>
      </c>
      <c r="M905" s="314"/>
      <c r="N905" s="314"/>
      <c r="O905" s="314">
        <v>38034530</v>
      </c>
      <c r="P905" s="314"/>
      <c r="Q905" s="314" t="s">
        <v>583</v>
      </c>
      <c r="R905" s="314"/>
      <c r="S905" s="314">
        <v>0.14599999999999999</v>
      </c>
      <c r="T905" s="314" t="s">
        <v>2543</v>
      </c>
      <c r="U905" s="320"/>
      <c r="V905" s="320"/>
      <c r="W905" s="320"/>
      <c r="X905" s="320"/>
      <c r="Y905" s="320"/>
    </row>
    <row r="906" spans="1:25" x14ac:dyDescent="0.45">
      <c r="A906" s="313">
        <v>16</v>
      </c>
      <c r="B906" s="424" t="s">
        <v>2544</v>
      </c>
      <c r="C906" s="425" t="s">
        <v>2528</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2545</v>
      </c>
      <c r="U906" s="320"/>
      <c r="V906" s="320"/>
      <c r="W906" s="320"/>
      <c r="X906" s="320"/>
      <c r="Y906" s="320"/>
    </row>
    <row r="907" spans="1:25" x14ac:dyDescent="0.45">
      <c r="A907" s="313"/>
      <c r="B907" s="424" t="s">
        <v>1446</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587</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588</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589</v>
      </c>
      <c r="C912" s="425" t="s">
        <v>913</v>
      </c>
      <c r="D912" s="314">
        <v>86323268</v>
      </c>
      <c r="E912" s="45"/>
      <c r="F912" s="314">
        <v>80926985</v>
      </c>
      <c r="G912" s="314"/>
      <c r="H912" s="314">
        <v>3690612</v>
      </c>
      <c r="I912" s="314"/>
      <c r="J912" s="314">
        <v>1705672</v>
      </c>
      <c r="K912" s="314">
        <v>865212</v>
      </c>
      <c r="L912" s="314">
        <v>840459</v>
      </c>
      <c r="M912" s="314"/>
      <c r="N912" s="314"/>
      <c r="O912" s="314">
        <v>86323268</v>
      </c>
      <c r="P912" s="314"/>
      <c r="Q912" s="314" t="s">
        <v>583</v>
      </c>
      <c r="R912" s="314"/>
      <c r="S912" s="314"/>
      <c r="T912" s="314"/>
      <c r="U912" s="320"/>
      <c r="V912" s="320"/>
      <c r="W912" s="320"/>
      <c r="X912" s="320"/>
      <c r="Y912" s="320"/>
    </row>
    <row r="913" spans="1:25" x14ac:dyDescent="0.45">
      <c r="A913" s="313">
        <v>19</v>
      </c>
      <c r="B913" s="424" t="s">
        <v>590</v>
      </c>
      <c r="C913" s="425" t="s">
        <v>2135</v>
      </c>
      <c r="D913" s="314">
        <v>0</v>
      </c>
      <c r="E913" s="45"/>
      <c r="F913" s="314">
        <v>0</v>
      </c>
      <c r="G913" s="314"/>
      <c r="H913" s="314">
        <v>0</v>
      </c>
      <c r="I913" s="314"/>
      <c r="J913" s="314">
        <v>0</v>
      </c>
      <c r="K913" s="314">
        <v>0</v>
      </c>
      <c r="L913" s="314">
        <v>0</v>
      </c>
      <c r="M913" s="314"/>
      <c r="N913" s="314"/>
      <c r="O913" s="314">
        <v>0</v>
      </c>
      <c r="P913" s="314"/>
      <c r="Q913" s="314" t="s">
        <v>583</v>
      </c>
      <c r="R913" s="314"/>
      <c r="S913" s="314"/>
      <c r="T913" s="314"/>
      <c r="U913" s="320"/>
      <c r="V913" s="320"/>
      <c r="W913" s="320"/>
      <c r="X913" s="320"/>
      <c r="Y913" s="320"/>
    </row>
    <row r="914" spans="1:25" x14ac:dyDescent="0.45">
      <c r="A914" s="313">
        <v>20</v>
      </c>
      <c r="B914" s="427" t="s">
        <v>2040</v>
      </c>
      <c r="C914" s="425" t="s">
        <v>1345</v>
      </c>
      <c r="D914" s="314">
        <v>0</v>
      </c>
      <c r="E914" s="45"/>
      <c r="F914" s="314">
        <v>0</v>
      </c>
      <c r="G914" s="314"/>
      <c r="H914" s="314">
        <v>0</v>
      </c>
      <c r="I914" s="314"/>
      <c r="J914" s="314">
        <v>0</v>
      </c>
      <c r="K914" s="314">
        <v>0</v>
      </c>
      <c r="L914" s="314">
        <v>0</v>
      </c>
      <c r="M914" s="314"/>
      <c r="N914" s="314"/>
      <c r="O914" s="314">
        <v>0</v>
      </c>
      <c r="P914" s="314"/>
      <c r="Q914" s="314" t="s">
        <v>583</v>
      </c>
      <c r="R914" s="314"/>
      <c r="S914" s="314"/>
      <c r="T914" s="314"/>
      <c r="U914" s="320"/>
      <c r="V914" s="320"/>
      <c r="W914" s="320"/>
      <c r="X914" s="320"/>
      <c r="Y914" s="320"/>
    </row>
    <row r="915" spans="1:25" x14ac:dyDescent="0.45">
      <c r="A915" s="313">
        <v>21</v>
      </c>
      <c r="B915" s="424" t="s">
        <v>592</v>
      </c>
      <c r="C915" s="425" t="s">
        <v>1371</v>
      </c>
      <c r="D915" s="314">
        <v>0</v>
      </c>
      <c r="E915" s="45"/>
      <c r="F915" s="314">
        <v>0</v>
      </c>
      <c r="G915" s="314"/>
      <c r="H915" s="314">
        <v>0</v>
      </c>
      <c r="I915" s="314"/>
      <c r="J915" s="314">
        <v>0</v>
      </c>
      <c r="K915" s="314">
        <v>0</v>
      </c>
      <c r="L915" s="314">
        <v>0</v>
      </c>
      <c r="M915" s="314"/>
      <c r="N915" s="314"/>
      <c r="O915" s="314">
        <v>0</v>
      </c>
      <c r="P915" s="314"/>
      <c r="Q915" s="314" t="s">
        <v>583</v>
      </c>
      <c r="R915" s="314"/>
      <c r="S915" s="314"/>
      <c r="T915" s="314"/>
      <c r="U915" s="320"/>
      <c r="V915" s="320"/>
      <c r="W915" s="320"/>
      <c r="X915" s="320"/>
      <c r="Y915" s="320"/>
    </row>
    <row r="916" spans="1:25" x14ac:dyDescent="0.45">
      <c r="A916" s="313">
        <v>22</v>
      </c>
      <c r="B916" s="424" t="s">
        <v>593</v>
      </c>
      <c r="C916" s="425" t="s">
        <v>939</v>
      </c>
      <c r="D916" s="314">
        <v>0</v>
      </c>
      <c r="E916" s="45"/>
      <c r="F916" s="314">
        <v>0</v>
      </c>
      <c r="G916" s="314"/>
      <c r="H916" s="314">
        <v>0</v>
      </c>
      <c r="I916" s="314"/>
      <c r="J916" s="314">
        <v>0</v>
      </c>
      <c r="K916" s="314">
        <v>0</v>
      </c>
      <c r="L916" s="314">
        <v>0</v>
      </c>
      <c r="M916" s="314"/>
      <c r="N916" s="314"/>
      <c r="O916" s="314">
        <v>0</v>
      </c>
      <c r="P916" s="314"/>
      <c r="Q916" s="314" t="s">
        <v>583</v>
      </c>
      <c r="R916" s="314"/>
      <c r="S916" s="314"/>
      <c r="T916" s="314"/>
      <c r="U916" s="320"/>
      <c r="V916" s="320"/>
      <c r="W916" s="320"/>
      <c r="X916" s="320"/>
      <c r="Y916" s="320"/>
    </row>
    <row r="917" spans="1:25" x14ac:dyDescent="0.45">
      <c r="A917" s="313">
        <v>23</v>
      </c>
      <c r="B917" s="424" t="s">
        <v>594</v>
      </c>
      <c r="C917" s="425" t="s">
        <v>1447</v>
      </c>
      <c r="D917" s="314">
        <v>0</v>
      </c>
      <c r="E917" s="45"/>
      <c r="F917" s="314">
        <v>0</v>
      </c>
      <c r="G917" s="314"/>
      <c r="H917" s="314">
        <v>0</v>
      </c>
      <c r="I917" s="314"/>
      <c r="J917" s="314" t="s">
        <v>2287</v>
      </c>
      <c r="K917" s="314">
        <v>0</v>
      </c>
      <c r="L917" s="314">
        <v>0</v>
      </c>
      <c r="M917" s="314"/>
      <c r="N917" s="314"/>
      <c r="O917" s="314">
        <v>0</v>
      </c>
      <c r="P917" s="314"/>
      <c r="Q917" s="314" t="s">
        <v>583</v>
      </c>
      <c r="R917" s="314"/>
      <c r="S917" s="314"/>
      <c r="T917" s="314"/>
      <c r="U917" s="320"/>
      <c r="V917" s="320"/>
      <c r="W917" s="320"/>
      <c r="X917" s="320"/>
      <c r="Y917" s="320"/>
    </row>
    <row r="918" spans="1:25" x14ac:dyDescent="0.45">
      <c r="A918" s="313">
        <v>24</v>
      </c>
      <c r="B918" s="424" t="s">
        <v>595</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1391</v>
      </c>
      <c r="C920" s="425" t="s">
        <v>1392</v>
      </c>
      <c r="D920" s="314">
        <v>1719772</v>
      </c>
      <c r="E920" s="45"/>
      <c r="F920" s="314">
        <v>1712216</v>
      </c>
      <c r="G920" s="314"/>
      <c r="H920" s="314">
        <v>7556</v>
      </c>
      <c r="I920" s="314"/>
      <c r="J920" s="314">
        <v>0</v>
      </c>
      <c r="K920" s="314">
        <v>0</v>
      </c>
      <c r="L920" s="314">
        <v>0</v>
      </c>
      <c r="M920" s="314"/>
      <c r="N920" s="314"/>
      <c r="O920" s="314">
        <v>1719772</v>
      </c>
      <c r="P920" s="314"/>
      <c r="Q920" s="314" t="s">
        <v>2229</v>
      </c>
      <c r="R920" s="314"/>
      <c r="S920" s="314"/>
      <c r="T920" s="314"/>
      <c r="U920" s="320"/>
      <c r="V920" s="320"/>
      <c r="W920" s="320"/>
      <c r="X920" s="320"/>
      <c r="Y920" s="320"/>
    </row>
    <row r="921" spans="1:25" x14ac:dyDescent="0.45">
      <c r="A921" s="313">
        <v>26</v>
      </c>
      <c r="B921" s="427" t="s">
        <v>2041</v>
      </c>
      <c r="C921" s="425" t="s">
        <v>1394</v>
      </c>
      <c r="D921" s="314">
        <v>31620707</v>
      </c>
      <c r="E921" s="45"/>
      <c r="F921" s="314">
        <v>0</v>
      </c>
      <c r="G921" s="314"/>
      <c r="H921" s="314">
        <v>1227530</v>
      </c>
      <c r="I921" s="314"/>
      <c r="J921" s="314">
        <v>0</v>
      </c>
      <c r="K921" s="314">
        <v>0</v>
      </c>
      <c r="L921" s="314">
        <v>0</v>
      </c>
      <c r="M921" s="314"/>
      <c r="N921" s="314"/>
      <c r="O921" s="314">
        <v>31620707</v>
      </c>
      <c r="P921" s="314"/>
      <c r="Q921" s="314" t="s">
        <v>2288</v>
      </c>
      <c r="R921" s="314"/>
      <c r="S921" s="314"/>
      <c r="T921" s="314"/>
      <c r="U921" s="320"/>
      <c r="V921" s="320"/>
      <c r="W921" s="320"/>
      <c r="X921" s="320"/>
      <c r="Y921" s="320"/>
    </row>
    <row r="922" spans="1:25" x14ac:dyDescent="0.45">
      <c r="A922" s="313">
        <v>27</v>
      </c>
      <c r="B922" s="424" t="s">
        <v>596</v>
      </c>
      <c r="C922" s="425" t="s">
        <v>1377</v>
      </c>
      <c r="D922" s="314">
        <v>237184</v>
      </c>
      <c r="E922" s="45"/>
      <c r="F922" s="314">
        <v>0</v>
      </c>
      <c r="G922" s="314"/>
      <c r="H922" s="314">
        <v>237184</v>
      </c>
      <c r="I922" s="314"/>
      <c r="J922" s="314">
        <v>0</v>
      </c>
      <c r="K922" s="314">
        <v>0</v>
      </c>
      <c r="L922" s="314">
        <v>0</v>
      </c>
      <c r="M922" s="314"/>
      <c r="N922" s="314"/>
      <c r="O922" s="314">
        <v>237184</v>
      </c>
      <c r="P922" s="314"/>
      <c r="Q922" s="314" t="s">
        <v>2230</v>
      </c>
      <c r="R922" s="314"/>
      <c r="S922" s="314"/>
      <c r="T922" s="314"/>
      <c r="U922" s="320"/>
      <c r="V922" s="320"/>
      <c r="W922" s="320"/>
      <c r="X922" s="320"/>
      <c r="Y922" s="320"/>
    </row>
    <row r="923" spans="1:25" x14ac:dyDescent="0.45">
      <c r="A923" s="313">
        <v>28</v>
      </c>
      <c r="B923" s="427" t="s">
        <v>2042</v>
      </c>
      <c r="C923" s="425" t="s">
        <v>1427</v>
      </c>
      <c r="D923" s="314">
        <v>15691507</v>
      </c>
      <c r="E923" s="45"/>
      <c r="F923" s="314">
        <v>0</v>
      </c>
      <c r="G923" s="314"/>
      <c r="H923" s="314">
        <v>746553</v>
      </c>
      <c r="I923" s="314"/>
      <c r="J923" s="314">
        <v>0</v>
      </c>
      <c r="K923" s="314">
        <v>0</v>
      </c>
      <c r="L923" s="314">
        <v>0</v>
      </c>
      <c r="M923" s="314"/>
      <c r="N923" s="314"/>
      <c r="O923" s="314">
        <v>15691507</v>
      </c>
      <c r="P923" s="314"/>
      <c r="Q923" s="314" t="s">
        <v>2231</v>
      </c>
      <c r="R923" s="314"/>
      <c r="S923" s="314"/>
      <c r="T923" s="314"/>
      <c r="U923" s="320"/>
      <c r="V923" s="355"/>
      <c r="W923" s="320"/>
      <c r="X923" s="320"/>
      <c r="Y923" s="320"/>
    </row>
    <row r="924" spans="1:25" x14ac:dyDescent="0.45">
      <c r="A924" s="313">
        <v>29</v>
      </c>
      <c r="B924" s="427" t="s">
        <v>2147</v>
      </c>
      <c r="C924" s="425" t="s">
        <v>1427</v>
      </c>
      <c r="D924" s="314">
        <v>4697653</v>
      </c>
      <c r="E924" s="45"/>
      <c r="F924" s="314">
        <v>0</v>
      </c>
      <c r="G924" s="314"/>
      <c r="H924" s="314">
        <v>0</v>
      </c>
      <c r="I924" s="314"/>
      <c r="J924" s="314">
        <v>53794</v>
      </c>
      <c r="K924" s="314">
        <v>28049</v>
      </c>
      <c r="L924" s="314">
        <v>25745</v>
      </c>
      <c r="M924" s="314"/>
      <c r="N924" s="314"/>
      <c r="O924" s="314">
        <v>4697653</v>
      </c>
      <c r="P924" s="314"/>
      <c r="Q924" s="314" t="s">
        <v>2148</v>
      </c>
      <c r="R924" s="314"/>
      <c r="S924" s="314"/>
      <c r="T924" s="314"/>
      <c r="U924" s="320"/>
      <c r="V924" s="355"/>
      <c r="W924" s="320"/>
      <c r="X924" s="320"/>
      <c r="Y924" s="320"/>
    </row>
    <row r="925" spans="1:25" x14ac:dyDescent="0.45">
      <c r="A925" s="313">
        <v>30</v>
      </c>
      <c r="B925" s="427" t="s">
        <v>2149</v>
      </c>
      <c r="C925" s="425" t="s">
        <v>1427</v>
      </c>
      <c r="D925" s="314">
        <v>6765972</v>
      </c>
      <c r="E925" s="45"/>
      <c r="F925" s="314">
        <v>0</v>
      </c>
      <c r="G925" s="314"/>
      <c r="H925" s="314">
        <v>0</v>
      </c>
      <c r="I925" s="314"/>
      <c r="J925" s="314">
        <v>77479</v>
      </c>
      <c r="K925" s="314">
        <v>40398</v>
      </c>
      <c r="L925" s="314">
        <v>37080</v>
      </c>
      <c r="M925" s="314"/>
      <c r="N925" s="314"/>
      <c r="O925" s="314">
        <v>6765972</v>
      </c>
      <c r="P925" s="314"/>
      <c r="Q925" s="314" t="s">
        <v>2150</v>
      </c>
      <c r="R925" s="314"/>
      <c r="S925" s="314"/>
      <c r="T925" s="314"/>
      <c r="U925" s="320"/>
      <c r="V925" s="355"/>
      <c r="W925" s="320"/>
      <c r="X925" s="320"/>
      <c r="Y925" s="320"/>
    </row>
    <row r="926" spans="1:25" x14ac:dyDescent="0.45">
      <c r="A926" s="313">
        <v>31</v>
      </c>
      <c r="B926" s="427" t="s">
        <v>2151</v>
      </c>
      <c r="C926" s="425" t="s">
        <v>1427</v>
      </c>
      <c r="D926" s="314">
        <v>1236415</v>
      </c>
      <c r="E926" s="45"/>
      <c r="F926" s="314">
        <v>0</v>
      </c>
      <c r="G926" s="314"/>
      <c r="H926" s="314">
        <v>0</v>
      </c>
      <c r="I926" s="314"/>
      <c r="J926" s="314">
        <v>14158</v>
      </c>
      <c r="K926" s="314">
        <v>7382</v>
      </c>
      <c r="L926" s="314">
        <v>6776</v>
      </c>
      <c r="M926" s="314"/>
      <c r="N926" s="314"/>
      <c r="O926" s="314">
        <v>1236415</v>
      </c>
      <c r="P926" s="314"/>
      <c r="Q926" s="314" t="s">
        <v>2152</v>
      </c>
      <c r="R926" s="314"/>
      <c r="S926" s="314"/>
      <c r="T926" s="314"/>
      <c r="U926" s="320"/>
      <c r="V926" s="355"/>
      <c r="W926" s="320"/>
      <c r="X926" s="320"/>
      <c r="Y926" s="320"/>
    </row>
    <row r="927" spans="1:25" x14ac:dyDescent="0.45">
      <c r="A927" s="313">
        <v>32</v>
      </c>
      <c r="B927" s="424" t="s">
        <v>597</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1045</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598</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2043</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2153</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2044</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2045</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2046</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2047</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2196</v>
      </c>
      <c r="C941" s="425"/>
      <c r="D941" s="314">
        <v>2017</v>
      </c>
      <c r="E941" s="314"/>
      <c r="F941" s="314">
        <v>0</v>
      </c>
      <c r="G941" s="314"/>
      <c r="H941" s="314">
        <v>2017</v>
      </c>
      <c r="I941" s="314"/>
      <c r="J941" s="314">
        <v>0</v>
      </c>
      <c r="K941" s="314">
        <v>0</v>
      </c>
      <c r="L941" s="314">
        <v>0</v>
      </c>
      <c r="M941" s="314"/>
      <c r="N941" s="314"/>
      <c r="O941" s="314">
        <v>2017</v>
      </c>
      <c r="P941" s="314"/>
      <c r="Q941" s="314"/>
      <c r="R941" s="314" t="s">
        <v>2232</v>
      </c>
      <c r="S941" s="314"/>
      <c r="T941" s="314"/>
      <c r="U941" s="320"/>
      <c r="V941" s="320"/>
      <c r="W941" s="355"/>
      <c r="X941" s="320"/>
      <c r="Y941" s="320"/>
    </row>
    <row r="942" spans="1:25" x14ac:dyDescent="0.45">
      <c r="A942" s="45">
        <v>8</v>
      </c>
      <c r="B942" s="427" t="s">
        <v>2048</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2049</v>
      </c>
      <c r="C943" s="425" t="s">
        <v>1270</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2050</v>
      </c>
      <c r="C944" s="425" t="s">
        <v>1378</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2051</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2052</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2053</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599</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2054</v>
      </c>
      <c r="C952" s="428" t="s">
        <v>1915</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2055</v>
      </c>
      <c r="C953" s="428" t="s">
        <v>1905</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2056</v>
      </c>
      <c r="C954" s="428" t="s">
        <v>1907</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2057</v>
      </c>
      <c r="C955" s="428" t="s">
        <v>1899</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2289</v>
      </c>
      <c r="C956" s="428" t="s">
        <v>1919</v>
      </c>
      <c r="D956" s="314">
        <v>5191</v>
      </c>
      <c r="E956" s="314"/>
      <c r="F956" s="314">
        <v>5191</v>
      </c>
      <c r="G956" s="314"/>
      <c r="H956" s="314">
        <v>0</v>
      </c>
      <c r="I956" s="314"/>
      <c r="J956" s="314">
        <v>0</v>
      </c>
      <c r="K956" s="314">
        <v>0</v>
      </c>
      <c r="L956" s="314">
        <v>0</v>
      </c>
      <c r="M956" s="314"/>
      <c r="N956" s="314"/>
      <c r="O956" s="314">
        <v>5191</v>
      </c>
      <c r="P956" s="314"/>
      <c r="Q956" s="314" t="s">
        <v>2290</v>
      </c>
      <c r="R956" s="314" t="s">
        <v>2291</v>
      </c>
      <c r="S956" s="314" t="s">
        <v>2223</v>
      </c>
      <c r="T956" s="314" t="s">
        <v>1258</v>
      </c>
      <c r="U956" s="53" t="s">
        <v>1259</v>
      </c>
    </row>
    <row r="957" spans="1:29" x14ac:dyDescent="0.45">
      <c r="A957" s="313">
        <v>19</v>
      </c>
      <c r="B957" s="427" t="s">
        <v>2292</v>
      </c>
      <c r="C957" s="428" t="s">
        <v>2065</v>
      </c>
      <c r="D957" s="314">
        <v>67110</v>
      </c>
      <c r="E957" s="314"/>
      <c r="F957" s="314">
        <v>0</v>
      </c>
      <c r="G957" s="314"/>
      <c r="H957" s="314">
        <v>45234</v>
      </c>
      <c r="I957" s="314"/>
      <c r="J957" s="314">
        <v>21876</v>
      </c>
      <c r="K957" s="314">
        <v>11165</v>
      </c>
      <c r="L957" s="314">
        <v>10711</v>
      </c>
      <c r="M957" s="314"/>
      <c r="N957" s="314"/>
      <c r="O957" s="314">
        <v>67110</v>
      </c>
      <c r="P957" s="314" t="s">
        <v>2293</v>
      </c>
      <c r="Q957" s="314">
        <v>0</v>
      </c>
      <c r="R957" s="314">
        <v>45234</v>
      </c>
      <c r="S957" s="314">
        <v>21876</v>
      </c>
      <c r="T957" s="314">
        <v>11165</v>
      </c>
      <c r="U957" s="495">
        <v>10711</v>
      </c>
      <c r="V957" s="320" t="s">
        <v>2225</v>
      </c>
      <c r="W957" s="320"/>
      <c r="X957" s="320"/>
      <c r="AA957" s="53" t="s">
        <v>2225</v>
      </c>
    </row>
    <row r="958" spans="1:29" x14ac:dyDescent="0.45">
      <c r="A958" s="313">
        <v>20</v>
      </c>
      <c r="B958" s="427" t="s">
        <v>2059</v>
      </c>
      <c r="C958" s="428" t="s">
        <v>1850</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2154</v>
      </c>
      <c r="C959" s="428" t="s">
        <v>1283</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2060</v>
      </c>
      <c r="C960" s="428" t="s">
        <v>1919</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2511</v>
      </c>
      <c r="C961" s="428" t="s">
        <v>1378</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2061</v>
      </c>
      <c r="C962" s="428" t="s">
        <v>1909</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2062</v>
      </c>
      <c r="C963" s="428" t="s">
        <v>1903</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2063</v>
      </c>
      <c r="C964" s="428" t="s">
        <v>1901</v>
      </c>
      <c r="D964" s="314">
        <v>32026</v>
      </c>
      <c r="E964" s="314"/>
      <c r="F964" s="314">
        <v>30874</v>
      </c>
      <c r="G964" s="314"/>
      <c r="H964" s="314">
        <v>1152</v>
      </c>
      <c r="I964" s="314"/>
      <c r="J964" s="314">
        <v>0</v>
      </c>
      <c r="K964" s="314">
        <v>0</v>
      </c>
      <c r="L964" s="314">
        <v>0</v>
      </c>
      <c r="M964" s="314"/>
      <c r="N964" s="314"/>
      <c r="O964" s="314">
        <v>32026</v>
      </c>
      <c r="P964" s="314"/>
      <c r="Q964" s="314" t="s">
        <v>2290</v>
      </c>
      <c r="R964" s="314" t="s">
        <v>2291</v>
      </c>
      <c r="S964" s="314" t="s">
        <v>2223</v>
      </c>
      <c r="T964" s="314" t="s">
        <v>1258</v>
      </c>
      <c r="U964" s="320" t="s">
        <v>1259</v>
      </c>
      <c r="V964" s="320"/>
      <c r="W964" s="320"/>
      <c r="X964" s="320"/>
      <c r="AA964" s="317"/>
    </row>
    <row r="965" spans="1:35" x14ac:dyDescent="0.45">
      <c r="A965" s="313">
        <v>27</v>
      </c>
      <c r="B965" s="427" t="s">
        <v>2294</v>
      </c>
      <c r="C965" s="428" t="s">
        <v>2065</v>
      </c>
      <c r="D965" s="314">
        <v>735</v>
      </c>
      <c r="E965" s="314"/>
      <c r="F965" s="314">
        <v>0</v>
      </c>
      <c r="G965" s="314"/>
      <c r="H965" s="314">
        <v>735</v>
      </c>
      <c r="I965" s="314"/>
      <c r="J965" s="314">
        <v>0</v>
      </c>
      <c r="K965" s="314">
        <v>0</v>
      </c>
      <c r="L965" s="314">
        <v>0</v>
      </c>
      <c r="M965" s="314"/>
      <c r="N965" s="314"/>
      <c r="O965" s="314">
        <v>735</v>
      </c>
      <c r="P965" s="314" t="s">
        <v>2295</v>
      </c>
      <c r="Q965" s="314">
        <v>0</v>
      </c>
      <c r="R965" s="314">
        <v>735</v>
      </c>
      <c r="S965" s="314">
        <v>0</v>
      </c>
      <c r="T965" s="314">
        <v>0</v>
      </c>
      <c r="U965" s="53">
        <v>0</v>
      </c>
      <c r="V965" s="53" t="s">
        <v>2225</v>
      </c>
      <c r="AA965" s="53" t="s">
        <v>2225</v>
      </c>
    </row>
    <row r="966" spans="1:35" x14ac:dyDescent="0.45">
      <c r="A966" s="313">
        <v>28</v>
      </c>
      <c r="B966" s="424" t="s">
        <v>600</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2233</v>
      </c>
      <c r="S967" s="314"/>
      <c r="T967" s="314"/>
      <c r="U967" s="320"/>
      <c r="W967" s="320"/>
    </row>
    <row r="968" spans="1:35" x14ac:dyDescent="0.45">
      <c r="A968" s="313">
        <v>29</v>
      </c>
      <c r="B968" s="424" t="s">
        <v>601</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602</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2296</v>
      </c>
      <c r="Z972" s="53" t="s">
        <v>2297</v>
      </c>
      <c r="AD972" s="53" t="s">
        <v>2296</v>
      </c>
      <c r="AE972" s="53" t="s">
        <v>2297</v>
      </c>
    </row>
    <row r="973" spans="1:35" x14ac:dyDescent="0.45">
      <c r="A973" s="45"/>
      <c r="B973" s="424" t="s">
        <v>603</v>
      </c>
      <c r="C973" s="312"/>
      <c r="D973" s="314"/>
      <c r="E973" s="314"/>
      <c r="F973" s="314"/>
      <c r="G973" s="314"/>
      <c r="H973" s="314"/>
      <c r="I973" s="314"/>
      <c r="J973" s="314"/>
      <c r="K973" s="314"/>
      <c r="L973" s="314"/>
      <c r="M973" s="314"/>
      <c r="N973" s="314"/>
      <c r="O973" s="314"/>
      <c r="P973" s="314"/>
      <c r="Q973" s="314"/>
      <c r="R973" s="314"/>
      <c r="S973" s="314"/>
      <c r="T973" s="314"/>
      <c r="W973" s="320"/>
      <c r="Y973" s="53" t="s">
        <v>2290</v>
      </c>
      <c r="Z973" s="53" t="s">
        <v>2291</v>
      </c>
      <c r="AD973" s="53" t="s">
        <v>2290</v>
      </c>
      <c r="AE973" s="318" t="s">
        <v>2291</v>
      </c>
      <c r="AF973" s="53" t="s">
        <v>1254</v>
      </c>
      <c r="AG973" s="53" t="s">
        <v>1254</v>
      </c>
      <c r="AH973" s="53" t="s">
        <v>1254</v>
      </c>
    </row>
    <row r="974" spans="1:35" x14ac:dyDescent="0.45">
      <c r="A974" s="313">
        <v>1</v>
      </c>
      <c r="B974" s="424" t="s">
        <v>604</v>
      </c>
      <c r="C974" s="425" t="s">
        <v>1356</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2566</v>
      </c>
      <c r="T974" s="314"/>
      <c r="W974" s="320"/>
      <c r="X974" s="53">
        <v>0</v>
      </c>
      <c r="AC974" s="53">
        <v>0</v>
      </c>
      <c r="AD974" s="329"/>
      <c r="AE974" s="329"/>
      <c r="AF974" s="329"/>
      <c r="AG974" s="53" t="s">
        <v>1258</v>
      </c>
      <c r="AH974" s="53" t="s">
        <v>1259</v>
      </c>
    </row>
    <row r="975" spans="1:35" x14ac:dyDescent="0.45">
      <c r="A975" s="313">
        <v>2</v>
      </c>
      <c r="B975" s="424" t="s">
        <v>605</v>
      </c>
      <c r="C975" s="425" t="s">
        <v>1378</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2225</v>
      </c>
    </row>
    <row r="976" spans="1:35" x14ac:dyDescent="0.45">
      <c r="A976" s="313">
        <v>3</v>
      </c>
      <c r="B976" s="424" t="s">
        <v>2197</v>
      </c>
      <c r="C976" s="425" t="s">
        <v>1356</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2566</v>
      </c>
      <c r="T976" s="314"/>
      <c r="U976" s="320"/>
      <c r="V976" s="320"/>
      <c r="W976" s="320"/>
      <c r="X976" s="331">
        <v>0</v>
      </c>
      <c r="Y976" s="332"/>
      <c r="Z976" s="320"/>
      <c r="AC976" s="53">
        <v>0</v>
      </c>
    </row>
    <row r="977" spans="1:34" x14ac:dyDescent="0.45">
      <c r="A977" s="313">
        <v>4</v>
      </c>
      <c r="B977" s="424" t="s">
        <v>2198</v>
      </c>
      <c r="C977" s="425" t="s">
        <v>1356</v>
      </c>
      <c r="D977" s="314">
        <v>0</v>
      </c>
      <c r="E977" s="314"/>
      <c r="F977" s="314">
        <v>0</v>
      </c>
      <c r="G977" s="314"/>
      <c r="H977" s="314">
        <v>0</v>
      </c>
      <c r="I977" s="314"/>
      <c r="J977" s="314">
        <v>0</v>
      </c>
      <c r="K977" s="314">
        <v>0</v>
      </c>
      <c r="L977" s="314">
        <v>0</v>
      </c>
      <c r="M977" s="314"/>
      <c r="N977" s="314"/>
      <c r="O977" s="314">
        <v>0</v>
      </c>
      <c r="P977" s="314">
        <v>504</v>
      </c>
      <c r="Q977" s="314"/>
      <c r="R977" s="314">
        <v>0</v>
      </c>
      <c r="S977" s="314" t="s">
        <v>2566</v>
      </c>
      <c r="T977" s="314"/>
      <c r="U977" s="320"/>
      <c r="V977" s="320"/>
      <c r="W977" s="320"/>
      <c r="X977" s="331"/>
      <c r="Y977" s="332"/>
      <c r="Z977" s="320"/>
      <c r="AD977" s="333"/>
    </row>
    <row r="978" spans="1:34" x14ac:dyDescent="0.45">
      <c r="A978" s="313">
        <v>5</v>
      </c>
      <c r="B978" s="424" t="s">
        <v>606</v>
      </c>
      <c r="C978" s="425" t="s">
        <v>1356</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2566</v>
      </c>
      <c r="T978" s="314"/>
      <c r="U978" s="320"/>
      <c r="V978" s="320"/>
      <c r="W978" s="320"/>
      <c r="X978" s="331">
        <v>0</v>
      </c>
      <c r="Y978" s="320"/>
      <c r="Z978" s="320"/>
      <c r="AC978" s="333">
        <v>0</v>
      </c>
      <c r="AD978" s="333"/>
    </row>
    <row r="979" spans="1:34" x14ac:dyDescent="0.45">
      <c r="A979" s="313">
        <v>6</v>
      </c>
      <c r="B979" s="424" t="s">
        <v>607</v>
      </c>
      <c r="C979" s="425" t="s">
        <v>1356</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2566</v>
      </c>
      <c r="T979" s="314"/>
      <c r="U979" s="320"/>
      <c r="V979" s="320"/>
      <c r="W979" s="320"/>
      <c r="X979" s="331">
        <v>0</v>
      </c>
      <c r="Y979" s="332"/>
      <c r="Z979" s="320"/>
      <c r="AC979" s="53">
        <v>0</v>
      </c>
      <c r="AD979" s="333"/>
    </row>
    <row r="980" spans="1:34" x14ac:dyDescent="0.45">
      <c r="A980" s="313">
        <v>7</v>
      </c>
      <c r="B980" s="424" t="s">
        <v>2199</v>
      </c>
      <c r="C980" s="425" t="s">
        <v>1356</v>
      </c>
      <c r="D980" s="314">
        <v>0</v>
      </c>
      <c r="E980" s="314"/>
      <c r="F980" s="314">
        <v>0</v>
      </c>
      <c r="G980" s="314"/>
      <c r="H980" s="314">
        <v>0</v>
      </c>
      <c r="I980" s="314"/>
      <c r="J980" s="314">
        <v>0</v>
      </c>
      <c r="K980" s="314">
        <v>0</v>
      </c>
      <c r="L980" s="314">
        <v>0</v>
      </c>
      <c r="M980" s="314"/>
      <c r="N980" s="314"/>
      <c r="O980" s="314">
        <v>0</v>
      </c>
      <c r="P980" s="314">
        <v>507</v>
      </c>
      <c r="Q980" s="314"/>
      <c r="R980" s="314">
        <v>0</v>
      </c>
      <c r="S980" s="314" t="s">
        <v>2566</v>
      </c>
      <c r="T980" s="314"/>
      <c r="U980" s="320"/>
      <c r="V980" s="320"/>
      <c r="W980" s="320"/>
      <c r="X980" s="331"/>
      <c r="Y980" s="332"/>
      <c r="Z980" s="320"/>
      <c r="AD980" s="333"/>
    </row>
    <row r="981" spans="1:34" x14ac:dyDescent="0.45">
      <c r="A981" s="313">
        <v>8</v>
      </c>
      <c r="B981" s="424" t="s">
        <v>2200</v>
      </c>
      <c r="C981" s="425" t="s">
        <v>1356</v>
      </c>
      <c r="D981" s="314">
        <v>0</v>
      </c>
      <c r="E981" s="314"/>
      <c r="F981" s="314">
        <v>0</v>
      </c>
      <c r="G981" s="314"/>
      <c r="H981" s="314">
        <v>0</v>
      </c>
      <c r="I981" s="314"/>
      <c r="J981" s="314">
        <v>0</v>
      </c>
      <c r="K981" s="314">
        <v>0</v>
      </c>
      <c r="L981" s="314">
        <v>0</v>
      </c>
      <c r="M981" s="314"/>
      <c r="N981" s="314"/>
      <c r="O981" s="314">
        <v>0</v>
      </c>
      <c r="P981" s="314">
        <v>509</v>
      </c>
      <c r="Q981" s="314"/>
      <c r="R981" s="314">
        <v>0</v>
      </c>
      <c r="S981" s="314" t="s">
        <v>2566</v>
      </c>
      <c r="T981" s="314"/>
      <c r="U981" s="320"/>
      <c r="V981" s="320"/>
      <c r="W981" s="320"/>
      <c r="X981" s="331"/>
      <c r="Y981" s="320"/>
      <c r="Z981" s="320"/>
      <c r="AC981" s="333"/>
      <c r="AD981" s="333"/>
      <c r="AG981" s="53" t="s">
        <v>1254</v>
      </c>
      <c r="AH981" s="53" t="s">
        <v>1254</v>
      </c>
    </row>
    <row r="982" spans="1:34" x14ac:dyDescent="0.45">
      <c r="A982" s="313">
        <v>9</v>
      </c>
      <c r="B982" s="424" t="s">
        <v>608</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2290</v>
      </c>
      <c r="W982" s="320" t="s">
        <v>2298</v>
      </c>
      <c r="X982" s="331"/>
      <c r="Y982" s="320"/>
      <c r="Z982" s="320" t="s">
        <v>2291</v>
      </c>
      <c r="AA982" s="53" t="s">
        <v>2290</v>
      </c>
      <c r="AB982" s="53" t="s">
        <v>2298</v>
      </c>
      <c r="AC982" s="333"/>
      <c r="AD982" s="333"/>
      <c r="AE982" s="53" t="s">
        <v>2291</v>
      </c>
      <c r="AG982" s="53" t="s">
        <v>1258</v>
      </c>
      <c r="AH982" s="53" t="s">
        <v>1259</v>
      </c>
    </row>
    <row r="983" spans="1:34" x14ac:dyDescent="0.45">
      <c r="A983" s="313">
        <v>10</v>
      </c>
      <c r="B983" s="424" t="s">
        <v>609</v>
      </c>
      <c r="C983" s="425" t="s">
        <v>1356</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2299</v>
      </c>
      <c r="X983" s="331">
        <v>0</v>
      </c>
      <c r="Y983" s="320"/>
      <c r="Z983" s="496">
        <v>63804</v>
      </c>
      <c r="AA983" s="329">
        <v>697814.62000000011</v>
      </c>
      <c r="AB983" s="53" t="s">
        <v>2299</v>
      </c>
      <c r="AC983" s="333">
        <v>2.4556356947869062E-10</v>
      </c>
      <c r="AD983" s="333"/>
      <c r="AE983" s="329">
        <v>63804.245905692747</v>
      </c>
      <c r="AG983" s="53">
        <v>15568.446740870035</v>
      </c>
      <c r="AH983" s="53">
        <v>15123.054374285999</v>
      </c>
    </row>
    <row r="984" spans="1:34" x14ac:dyDescent="0.45">
      <c r="A984" s="313">
        <v>11</v>
      </c>
      <c r="B984" s="424" t="s">
        <v>610</v>
      </c>
      <c r="C984" s="425" t="s">
        <v>1356</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2300</v>
      </c>
      <c r="X984" s="331">
        <v>0</v>
      </c>
      <c r="Y984" s="332"/>
      <c r="Z984" s="320">
        <v>0</v>
      </c>
      <c r="AA984" s="334">
        <v>428502.60749999998</v>
      </c>
      <c r="AB984" s="53" t="s">
        <v>2300</v>
      </c>
      <c r="AC984" s="53">
        <v>-5.8207660913467407E-11</v>
      </c>
      <c r="AD984" s="333"/>
      <c r="AE984" s="53">
        <v>0</v>
      </c>
      <c r="AG984" s="53">
        <v>0</v>
      </c>
      <c r="AH984" s="53">
        <v>0</v>
      </c>
    </row>
    <row r="985" spans="1:34" x14ac:dyDescent="0.45">
      <c r="A985" s="313">
        <v>12</v>
      </c>
      <c r="B985" s="424" t="s">
        <v>611</v>
      </c>
      <c r="C985" s="425" t="s">
        <v>1378</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2301</v>
      </c>
      <c r="X985" s="331">
        <v>0</v>
      </c>
      <c r="Y985" s="332"/>
      <c r="Z985" s="496">
        <v>595004</v>
      </c>
      <c r="AA985" s="334">
        <v>16056063.994999999</v>
      </c>
      <c r="AB985" s="53" t="s">
        <v>2301</v>
      </c>
      <c r="AC985" s="53">
        <v>-3.1141098588705063E-9</v>
      </c>
      <c r="AD985" s="333"/>
      <c r="AE985" s="53">
        <v>595003.81736859703</v>
      </c>
      <c r="AG985" s="53">
        <v>164320.71970332996</v>
      </c>
      <c r="AH985" s="53">
        <v>155821.31248815623</v>
      </c>
    </row>
    <row r="986" spans="1:34" x14ac:dyDescent="0.45">
      <c r="A986" s="313">
        <v>13</v>
      </c>
      <c r="B986" s="424" t="s">
        <v>612</v>
      </c>
      <c r="C986" s="425" t="s">
        <v>1378</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2302</v>
      </c>
      <c r="V986" s="497">
        <v>8350246.0199999996</v>
      </c>
      <c r="W986" s="320" t="s">
        <v>2303</v>
      </c>
      <c r="X986" s="331">
        <v>0</v>
      </c>
      <c r="Y986" s="332"/>
      <c r="Z986" s="496">
        <v>138733</v>
      </c>
      <c r="AA986" s="334">
        <v>8350246.0175000001</v>
      </c>
      <c r="AB986" s="53" t="s">
        <v>2303</v>
      </c>
      <c r="AC986" s="53">
        <v>2.0736479200422764E-9</v>
      </c>
      <c r="AD986" s="333"/>
      <c r="AE986" s="53">
        <v>138732.51095696876</v>
      </c>
      <c r="AG986" s="53">
        <v>38313.411412244786</v>
      </c>
      <c r="AH986" s="53">
        <v>36331.669328939184</v>
      </c>
    </row>
    <row r="987" spans="1:34" x14ac:dyDescent="0.45">
      <c r="A987" s="313">
        <v>14</v>
      </c>
      <c r="B987" s="424" t="s">
        <v>613</v>
      </c>
      <c r="C987" s="425" t="s">
        <v>1356</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2304</v>
      </c>
      <c r="V987" s="497">
        <v>706121.79</v>
      </c>
      <c r="W987" s="320" t="s">
        <v>2305</v>
      </c>
      <c r="X987" s="331">
        <v>0</v>
      </c>
      <c r="Y987" s="332"/>
      <c r="Z987" s="491">
        <v>63794</v>
      </c>
      <c r="AA987" s="334">
        <v>706121.79125000001</v>
      </c>
      <c r="AB987" s="53" t="s">
        <v>2305</v>
      </c>
      <c r="AC987" s="53">
        <v>-3.092281986027956E-10</v>
      </c>
      <c r="AE987" s="53">
        <v>63793.915694450872</v>
      </c>
      <c r="AG987" s="53">
        <v>15565.926135207228</v>
      </c>
      <c r="AH987" s="53">
        <v>15120.60587976826</v>
      </c>
    </row>
    <row r="988" spans="1:34" x14ac:dyDescent="0.45">
      <c r="A988" s="313">
        <v>15</v>
      </c>
      <c r="B988" s="424" t="s">
        <v>614</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2512</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615</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2566</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616</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617</v>
      </c>
      <c r="C993" s="425" t="s">
        <v>1358</v>
      </c>
      <c r="D993" s="314">
        <v>0</v>
      </c>
      <c r="E993" s="314"/>
      <c r="F993" s="314">
        <v>0</v>
      </c>
      <c r="G993" s="314"/>
      <c r="H993" s="314">
        <v>0</v>
      </c>
      <c r="I993" s="314"/>
      <c r="J993" s="314">
        <v>0</v>
      </c>
      <c r="K993" s="314">
        <v>0</v>
      </c>
      <c r="L993" s="314">
        <v>0</v>
      </c>
      <c r="M993" s="314"/>
      <c r="N993" s="314"/>
      <c r="O993" s="314">
        <v>0</v>
      </c>
      <c r="P993" s="314">
        <v>535</v>
      </c>
      <c r="Q993" s="314"/>
      <c r="R993" s="314">
        <v>0</v>
      </c>
      <c r="S993" s="314" t="s">
        <v>2566</v>
      </c>
      <c r="T993" s="314"/>
      <c r="U993" s="320"/>
      <c r="V993" s="320"/>
      <c r="W993" s="320"/>
      <c r="X993" s="331"/>
    </row>
    <row r="994" spans="1:25" x14ac:dyDescent="0.45">
      <c r="A994" s="313">
        <v>18</v>
      </c>
      <c r="B994" s="424" t="s">
        <v>618</v>
      </c>
      <c r="C994" s="425" t="s">
        <v>1358</v>
      </c>
      <c r="D994" s="314">
        <v>0</v>
      </c>
      <c r="E994" s="314"/>
      <c r="F994" s="314">
        <v>0</v>
      </c>
      <c r="G994" s="314"/>
      <c r="H994" s="314">
        <v>0</v>
      </c>
      <c r="I994" s="314"/>
      <c r="J994" s="314">
        <v>0</v>
      </c>
      <c r="K994" s="314">
        <v>0</v>
      </c>
      <c r="L994" s="314">
        <v>0</v>
      </c>
      <c r="M994" s="314"/>
      <c r="N994" s="314"/>
      <c r="O994" s="314">
        <v>0</v>
      </c>
      <c r="P994" s="314">
        <v>536</v>
      </c>
      <c r="Q994" s="314"/>
      <c r="R994" s="314">
        <v>0</v>
      </c>
      <c r="S994" s="314" t="s">
        <v>2566</v>
      </c>
      <c r="T994" s="314"/>
      <c r="U994" s="320"/>
      <c r="V994" s="320"/>
      <c r="W994" s="320"/>
      <c r="X994" s="331"/>
      <c r="Y994" s="320"/>
    </row>
    <row r="995" spans="1:25" x14ac:dyDescent="0.45">
      <c r="A995" s="313">
        <v>19</v>
      </c>
      <c r="B995" s="424" t="s">
        <v>619</v>
      </c>
      <c r="C995" s="425" t="s">
        <v>1358</v>
      </c>
      <c r="D995" s="314">
        <v>0</v>
      </c>
      <c r="E995" s="314"/>
      <c r="F995" s="314">
        <v>0</v>
      </c>
      <c r="G995" s="314"/>
      <c r="H995" s="314">
        <v>0</v>
      </c>
      <c r="I995" s="314"/>
      <c r="J995" s="314">
        <v>0</v>
      </c>
      <c r="K995" s="314">
        <v>0</v>
      </c>
      <c r="L995" s="314">
        <v>0</v>
      </c>
      <c r="M995" s="314"/>
      <c r="N995" s="314"/>
      <c r="O995" s="314">
        <v>0</v>
      </c>
      <c r="P995" s="314">
        <v>537</v>
      </c>
      <c r="Q995" s="314"/>
      <c r="R995" s="314">
        <v>0</v>
      </c>
      <c r="S995" s="314" t="s">
        <v>2566</v>
      </c>
      <c r="T995" s="314"/>
      <c r="U995" s="320"/>
      <c r="V995" s="320"/>
      <c r="W995" s="320"/>
      <c r="X995" s="331"/>
      <c r="Y995" s="320"/>
    </row>
    <row r="996" spans="1:25" x14ac:dyDescent="0.45">
      <c r="A996" s="313">
        <v>20</v>
      </c>
      <c r="B996" s="424" t="s">
        <v>620</v>
      </c>
      <c r="C996" s="425" t="s">
        <v>1358</v>
      </c>
      <c r="D996" s="314">
        <v>0</v>
      </c>
      <c r="E996" s="314"/>
      <c r="F996" s="314">
        <v>0</v>
      </c>
      <c r="G996" s="314"/>
      <c r="H996" s="314">
        <v>0</v>
      </c>
      <c r="I996" s="314"/>
      <c r="J996" s="314">
        <v>0</v>
      </c>
      <c r="K996" s="314">
        <v>0</v>
      </c>
      <c r="L996" s="314">
        <v>0</v>
      </c>
      <c r="M996" s="314"/>
      <c r="N996" s="314"/>
      <c r="O996" s="314">
        <v>0</v>
      </c>
      <c r="P996" s="314">
        <v>538</v>
      </c>
      <c r="Q996" s="314"/>
      <c r="R996" s="314">
        <v>0</v>
      </c>
      <c r="S996" s="314" t="s">
        <v>2566</v>
      </c>
      <c r="T996" s="314"/>
      <c r="U996" s="320"/>
      <c r="V996" s="320"/>
      <c r="W996" s="320"/>
      <c r="X996" s="331"/>
      <c r="Y996" s="320"/>
    </row>
    <row r="997" spans="1:25" x14ac:dyDescent="0.45">
      <c r="A997" s="313">
        <v>21</v>
      </c>
      <c r="B997" s="424" t="s">
        <v>2201</v>
      </c>
      <c r="C997" s="425" t="s">
        <v>1358</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2566</v>
      </c>
      <c r="T997" s="314"/>
      <c r="U997" s="320"/>
      <c r="V997" s="320"/>
      <c r="W997" s="320"/>
      <c r="X997" s="331"/>
      <c r="Y997" s="320"/>
    </row>
    <row r="998" spans="1:25" x14ac:dyDescent="0.45">
      <c r="A998" s="313">
        <v>22</v>
      </c>
      <c r="B998" s="424" t="s">
        <v>621</v>
      </c>
      <c r="C998" s="425" t="s">
        <v>1358</v>
      </c>
      <c r="D998" s="314">
        <v>0</v>
      </c>
      <c r="E998" s="314"/>
      <c r="F998" s="314">
        <v>0</v>
      </c>
      <c r="G998" s="314"/>
      <c r="H998" s="314">
        <v>0</v>
      </c>
      <c r="I998" s="314"/>
      <c r="J998" s="314">
        <v>0</v>
      </c>
      <c r="K998" s="314">
        <v>0</v>
      </c>
      <c r="L998" s="314">
        <v>0</v>
      </c>
      <c r="M998" s="314"/>
      <c r="N998" s="314"/>
      <c r="O998" s="314">
        <v>0</v>
      </c>
      <c r="P998" s="314">
        <v>540</v>
      </c>
      <c r="Q998" s="314"/>
      <c r="R998" s="314">
        <v>0</v>
      </c>
      <c r="S998" s="314" t="s">
        <v>2566</v>
      </c>
      <c r="T998" s="314"/>
      <c r="U998" s="320"/>
      <c r="V998" s="320"/>
      <c r="W998" s="320"/>
      <c r="X998" s="331"/>
      <c r="Y998" s="320"/>
    </row>
    <row r="999" spans="1:25" x14ac:dyDescent="0.45">
      <c r="A999" s="313">
        <v>23</v>
      </c>
      <c r="B999" s="424" t="s">
        <v>622</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623</v>
      </c>
      <c r="C1000" s="425" t="s">
        <v>1358</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2566</v>
      </c>
      <c r="T1000" s="314"/>
      <c r="U1000" s="320"/>
      <c r="V1000" s="320"/>
      <c r="W1000" s="320"/>
      <c r="X1000" s="331"/>
    </row>
    <row r="1001" spans="1:25" x14ac:dyDescent="0.45">
      <c r="A1001" s="313">
        <v>25</v>
      </c>
      <c r="B1001" s="424" t="s">
        <v>123</v>
      </c>
      <c r="C1001" s="425" t="s">
        <v>1358</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2566</v>
      </c>
      <c r="T1001" s="314"/>
      <c r="U1001" s="320"/>
      <c r="V1001" s="320"/>
      <c r="W1001" s="320"/>
      <c r="X1001" s="331"/>
      <c r="Y1001" s="320"/>
    </row>
    <row r="1002" spans="1:25" x14ac:dyDescent="0.45">
      <c r="A1002" s="313">
        <v>26</v>
      </c>
      <c r="B1002" s="424" t="s">
        <v>124</v>
      </c>
      <c r="C1002" s="425" t="s">
        <v>1358</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2566</v>
      </c>
      <c r="T1002" s="314"/>
      <c r="U1002" s="320"/>
      <c r="V1002" s="320"/>
      <c r="W1002" s="320"/>
      <c r="X1002" s="331"/>
      <c r="Y1002" s="320"/>
    </row>
    <row r="1003" spans="1:25" x14ac:dyDescent="0.45">
      <c r="A1003" s="313">
        <v>27</v>
      </c>
      <c r="B1003" s="424" t="s">
        <v>125</v>
      </c>
      <c r="C1003" s="425" t="s">
        <v>1378</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2566</v>
      </c>
      <c r="T1003" s="314"/>
      <c r="U1003" s="320"/>
      <c r="V1003" s="320"/>
      <c r="W1003" s="320"/>
      <c r="X1003" s="331"/>
      <c r="Y1003" s="320"/>
    </row>
    <row r="1004" spans="1:25" x14ac:dyDescent="0.45">
      <c r="A1004" s="313">
        <v>28</v>
      </c>
      <c r="B1004" s="424" t="s">
        <v>126</v>
      </c>
      <c r="C1004" s="425" t="s">
        <v>1358</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2566</v>
      </c>
      <c r="T1004" s="314"/>
      <c r="U1004" s="320"/>
      <c r="V1004" s="320"/>
      <c r="W1004" s="320"/>
      <c r="X1004" s="331"/>
      <c r="Y1004" s="320"/>
    </row>
    <row r="1005" spans="1:25" x14ac:dyDescent="0.45">
      <c r="A1005" s="313">
        <v>29</v>
      </c>
      <c r="B1005" s="424" t="s">
        <v>1075</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1076</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2566</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1077</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1078</v>
      </c>
      <c r="C1010" s="425" t="s">
        <v>1360</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2566</v>
      </c>
      <c r="T1010" s="314"/>
      <c r="U1010" s="320"/>
      <c r="V1010" s="320"/>
      <c r="W1010" s="320"/>
      <c r="X1010" s="331"/>
    </row>
    <row r="1011" spans="1:31" x14ac:dyDescent="0.45">
      <c r="A1011" s="313">
        <v>32</v>
      </c>
      <c r="B1011" s="424" t="s">
        <v>1079</v>
      </c>
      <c r="C1011" s="425" t="s">
        <v>1378</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2566</v>
      </c>
      <c r="T1011" s="314"/>
      <c r="U1011" s="320"/>
      <c r="V1011" s="320"/>
      <c r="W1011" s="320"/>
      <c r="X1011" s="331"/>
      <c r="Y1011" s="320" t="s">
        <v>1254</v>
      </c>
      <c r="Z1011" s="53" t="s">
        <v>1254</v>
      </c>
      <c r="AD1011" s="53" t="s">
        <v>1254</v>
      </c>
      <c r="AE1011" s="53" t="s">
        <v>1254</v>
      </c>
    </row>
    <row r="1012" spans="1:31" x14ac:dyDescent="0.45">
      <c r="A1012" s="313">
        <v>33</v>
      </c>
      <c r="B1012" s="424" t="s">
        <v>1080</v>
      </c>
      <c r="C1012" s="425" t="s">
        <v>1360</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2566</v>
      </c>
      <c r="T1012" s="314" t="s">
        <v>2290</v>
      </c>
      <c r="U1012" s="320" t="s">
        <v>2298</v>
      </c>
      <c r="V1012" s="320"/>
      <c r="W1012" s="320" t="s">
        <v>2291</v>
      </c>
      <c r="X1012" s="331"/>
      <c r="Y1012" s="320" t="s">
        <v>1258</v>
      </c>
      <c r="Z1012" s="53" t="s">
        <v>1259</v>
      </c>
      <c r="AB1012" s="53" t="s">
        <v>2291</v>
      </c>
      <c r="AD1012" s="53" t="s">
        <v>1258</v>
      </c>
      <c r="AE1012" s="53" t="s">
        <v>1259</v>
      </c>
    </row>
    <row r="1013" spans="1:31" x14ac:dyDescent="0.45">
      <c r="A1013" s="313">
        <v>34</v>
      </c>
      <c r="B1013" s="424" t="s">
        <v>2202</v>
      </c>
      <c r="C1013" s="425" t="s">
        <v>1360</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2306</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2203</v>
      </c>
      <c r="C1014" s="425" t="s">
        <v>1360</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2566</v>
      </c>
      <c r="T1014" s="314"/>
      <c r="U1014" s="320"/>
      <c r="V1014" s="320"/>
      <c r="W1014" s="320"/>
      <c r="X1014" s="331"/>
      <c r="Y1014" s="332"/>
    </row>
    <row r="1015" spans="1:31" x14ac:dyDescent="0.45">
      <c r="A1015" s="313">
        <v>36</v>
      </c>
      <c r="B1015" s="424" t="s">
        <v>1081</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1082</v>
      </c>
      <c r="C1016" s="425" t="s">
        <v>1360</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2307</v>
      </c>
      <c r="V1016" s="320">
        <v>0</v>
      </c>
      <c r="W1016" s="320">
        <v>0</v>
      </c>
      <c r="X1016" s="331"/>
      <c r="Y1016" s="332">
        <v>0</v>
      </c>
      <c r="Z1016" s="53">
        <v>0</v>
      </c>
      <c r="AA1016" s="53">
        <v>0</v>
      </c>
      <c r="AB1016" s="53">
        <v>0</v>
      </c>
      <c r="AD1016" s="53">
        <v>0</v>
      </c>
      <c r="AE1016" s="53">
        <v>0</v>
      </c>
    </row>
    <row r="1017" spans="1:31" x14ac:dyDescent="0.45">
      <c r="A1017" s="313">
        <v>38</v>
      </c>
      <c r="B1017" s="424" t="s">
        <v>1083</v>
      </c>
      <c r="C1017" s="425" t="s">
        <v>1360</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2308</v>
      </c>
      <c r="V1017" s="320">
        <v>0</v>
      </c>
      <c r="W1017" s="320">
        <v>0</v>
      </c>
      <c r="X1017" s="331"/>
      <c r="Y1017" s="332">
        <v>0</v>
      </c>
      <c r="Z1017" s="53">
        <v>0</v>
      </c>
      <c r="AA1017" s="53">
        <v>-7.2759576141834259E-11</v>
      </c>
      <c r="AB1017" s="53">
        <v>0</v>
      </c>
      <c r="AD1017" s="53">
        <v>0</v>
      </c>
      <c r="AE1017" s="53">
        <v>0</v>
      </c>
    </row>
    <row r="1018" spans="1:31" x14ac:dyDescent="0.45">
      <c r="A1018" s="313">
        <v>39</v>
      </c>
      <c r="B1018" s="424" t="s">
        <v>1084</v>
      </c>
      <c r="C1018" s="425" t="s">
        <v>1360</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2309</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1085</v>
      </c>
      <c r="C1019" s="425" t="s">
        <v>1360</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2310</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1086</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1087</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2566</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1095</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1088</v>
      </c>
      <c r="C1026" s="312"/>
      <c r="D1026" s="314"/>
      <c r="E1026" s="314"/>
      <c r="F1026" s="314"/>
      <c r="G1026" s="314"/>
      <c r="H1026" s="314"/>
      <c r="I1026" s="314"/>
      <c r="J1026" s="314"/>
      <c r="K1026" s="314"/>
      <c r="L1026" s="314"/>
      <c r="M1026" s="314"/>
      <c r="N1026" s="314"/>
      <c r="O1026" s="314"/>
      <c r="P1026" s="314">
        <v>555</v>
      </c>
      <c r="Q1026" s="314"/>
      <c r="R1026" s="314">
        <v>51756701</v>
      </c>
      <c r="S1026" s="314" t="s">
        <v>2566</v>
      </c>
      <c r="T1026" s="314"/>
      <c r="U1026" s="320"/>
      <c r="V1026" s="320"/>
      <c r="W1026" s="320"/>
      <c r="X1026" s="331"/>
    </row>
    <row r="1027" spans="1:25" x14ac:dyDescent="0.45">
      <c r="A1027" s="313">
        <v>43</v>
      </c>
      <c r="B1027" s="424" t="s">
        <v>1089</v>
      </c>
      <c r="C1027" s="425" t="s">
        <v>1270</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1090</v>
      </c>
      <c r="C1028" s="425" t="s">
        <v>1378</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1091</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1092</v>
      </c>
      <c r="C1031" s="425" t="s">
        <v>1270</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2566</v>
      </c>
      <c r="T1031" s="314"/>
      <c r="U1031" s="320"/>
      <c r="V1031" s="320"/>
      <c r="W1031" s="320"/>
      <c r="X1031" s="331"/>
    </row>
    <row r="1032" spans="1:25" x14ac:dyDescent="0.45">
      <c r="A1032" s="313">
        <v>47</v>
      </c>
      <c r="B1032" s="424" t="s">
        <v>1093</v>
      </c>
      <c r="C1032" s="425" t="s">
        <v>913</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2566</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1094</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2566</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1095</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1096</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1097</v>
      </c>
      <c r="C1039" s="425" t="s">
        <v>515</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2566</v>
      </c>
      <c r="T1039" s="314"/>
      <c r="U1039" s="320"/>
      <c r="V1039" s="320"/>
      <c r="W1039" s="320"/>
      <c r="X1039" s="331"/>
    </row>
    <row r="1040" spans="1:25" x14ac:dyDescent="0.45">
      <c r="A1040" s="313">
        <v>2</v>
      </c>
      <c r="B1040" s="424" t="s">
        <v>1098</v>
      </c>
      <c r="C1040" s="425" t="s">
        <v>2135</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2566</v>
      </c>
      <c r="T1040" s="314"/>
      <c r="U1040" s="320"/>
      <c r="V1040" s="320"/>
      <c r="W1040" s="320"/>
      <c r="X1040" s="331"/>
      <c r="Y1040" s="320"/>
    </row>
    <row r="1041" spans="1:27" x14ac:dyDescent="0.45">
      <c r="A1041" s="313">
        <v>3</v>
      </c>
      <c r="B1041" s="424" t="s">
        <v>1099</v>
      </c>
      <c r="C1041" s="425" t="s">
        <v>2135</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2566</v>
      </c>
      <c r="T1041" s="314"/>
      <c r="U1041" s="320"/>
      <c r="V1041" s="320"/>
      <c r="W1041" s="320"/>
      <c r="X1041" s="331"/>
      <c r="Y1041" s="320"/>
    </row>
    <row r="1042" spans="1:27" x14ac:dyDescent="0.45">
      <c r="A1042" s="313">
        <v>4</v>
      </c>
      <c r="B1042" s="424" t="s">
        <v>1100</v>
      </c>
      <c r="C1042" s="425" t="s">
        <v>2135</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2566</v>
      </c>
      <c r="T1042" s="314"/>
      <c r="U1042" s="320"/>
      <c r="V1042" s="320"/>
      <c r="W1042" s="320"/>
      <c r="X1042" s="331"/>
      <c r="Y1042" s="320"/>
    </row>
    <row r="1043" spans="1:27" x14ac:dyDescent="0.45">
      <c r="A1043" s="313">
        <v>5</v>
      </c>
      <c r="B1043" s="424" t="s">
        <v>1101</v>
      </c>
      <c r="C1043" s="425" t="s">
        <v>2135</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2566</v>
      </c>
      <c r="T1043" s="314"/>
      <c r="U1043" s="320"/>
      <c r="V1043" s="320"/>
      <c r="W1043" s="320"/>
      <c r="X1043" s="331"/>
      <c r="Y1043" s="320"/>
    </row>
    <row r="1044" spans="1:27" x14ac:dyDescent="0.45">
      <c r="A1044" s="313">
        <v>6</v>
      </c>
      <c r="B1044" s="424" t="s">
        <v>1102</v>
      </c>
      <c r="C1044" s="425" t="s">
        <v>2135</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2566</v>
      </c>
      <c r="T1044" s="314"/>
      <c r="U1044" s="320"/>
      <c r="V1044" s="320"/>
      <c r="W1044" s="320"/>
      <c r="X1044" s="331"/>
      <c r="Y1044" s="320"/>
    </row>
    <row r="1045" spans="1:27" x14ac:dyDescent="0.45">
      <c r="A1045" s="313">
        <v>7</v>
      </c>
      <c r="B1045" s="424" t="s">
        <v>1103</v>
      </c>
      <c r="C1045" s="425" t="s">
        <v>2135</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2566</v>
      </c>
      <c r="T1045" s="314"/>
      <c r="U1045" s="320"/>
      <c r="V1045" s="320"/>
      <c r="W1045" s="320"/>
      <c r="X1045" s="331"/>
      <c r="Y1045" s="320"/>
    </row>
    <row r="1046" spans="1:27" x14ac:dyDescent="0.45">
      <c r="A1046" s="313">
        <v>8</v>
      </c>
      <c r="B1046" s="424" t="s">
        <v>1104</v>
      </c>
      <c r="C1046" s="425" t="s">
        <v>2135</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2566</v>
      </c>
      <c r="T1046" s="314"/>
      <c r="U1046" s="320"/>
      <c r="V1046" s="320"/>
      <c r="W1046" s="320"/>
      <c r="X1046" s="331"/>
      <c r="Y1046" s="327"/>
    </row>
    <row r="1047" spans="1:27" x14ac:dyDescent="0.45">
      <c r="A1047" s="311">
        <v>9</v>
      </c>
      <c r="B1047" s="427" t="s">
        <v>2064</v>
      </c>
      <c r="C1047" s="425" t="s">
        <v>2135</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2566</v>
      </c>
      <c r="T1047" s="314"/>
      <c r="U1047" s="320"/>
      <c r="V1047" s="320"/>
      <c r="W1047" s="320"/>
      <c r="X1047" s="331"/>
      <c r="Y1047" s="320"/>
      <c r="AA1047" s="320"/>
    </row>
    <row r="1048" spans="1:27" x14ac:dyDescent="0.45">
      <c r="A1048" s="313">
        <v>10</v>
      </c>
      <c r="B1048" s="424" t="s">
        <v>1105</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1106</v>
      </c>
      <c r="C1049" s="425" t="s">
        <v>2135</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2566</v>
      </c>
      <c r="T1049" s="314"/>
      <c r="U1049" s="320"/>
      <c r="V1049" s="320"/>
      <c r="W1049" s="320"/>
      <c r="X1049" s="331"/>
      <c r="Y1049" s="317"/>
      <c r="Z1049" s="327"/>
    </row>
    <row r="1050" spans="1:27" x14ac:dyDescent="0.45">
      <c r="A1050" s="313">
        <v>12</v>
      </c>
      <c r="B1050" s="424" t="s">
        <v>1107</v>
      </c>
      <c r="C1050" s="425" t="s">
        <v>2135</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2566</v>
      </c>
      <c r="T1050" s="314"/>
      <c r="U1050" s="320"/>
      <c r="V1050" s="320"/>
      <c r="W1050" s="320"/>
      <c r="X1050" s="331"/>
      <c r="Y1050" s="317"/>
      <c r="Z1050" s="360"/>
    </row>
    <row r="1051" spans="1:27" x14ac:dyDescent="0.45">
      <c r="A1051" s="313">
        <v>13</v>
      </c>
      <c r="B1051" s="424" t="s">
        <v>1108</v>
      </c>
      <c r="C1051" s="425" t="s">
        <v>2135</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2566</v>
      </c>
      <c r="T1051" s="314" t="s">
        <v>2311</v>
      </c>
      <c r="U1051" s="320"/>
      <c r="V1051" s="320"/>
      <c r="W1051" s="320"/>
      <c r="X1051" s="331"/>
      <c r="Y1051" s="317"/>
      <c r="Z1051" s="360"/>
    </row>
    <row r="1052" spans="1:27" x14ac:dyDescent="0.45">
      <c r="A1052" s="313">
        <v>14</v>
      </c>
      <c r="B1052" s="427" t="s">
        <v>1109</v>
      </c>
      <c r="C1052" s="425" t="s">
        <v>2135</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2566</v>
      </c>
      <c r="T1052" s="314">
        <v>0</v>
      </c>
      <c r="U1052" s="320"/>
      <c r="V1052" s="320"/>
      <c r="W1052" s="320"/>
      <c r="X1052" s="331"/>
      <c r="Y1052" s="355"/>
    </row>
    <row r="1053" spans="1:27" x14ac:dyDescent="0.45">
      <c r="A1053" s="313">
        <v>15</v>
      </c>
      <c r="B1053" s="424" t="s">
        <v>1110</v>
      </c>
      <c r="C1053" s="425" t="s">
        <v>2135</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2566</v>
      </c>
      <c r="T1053" s="314" t="s">
        <v>2513</v>
      </c>
      <c r="U1053" s="320"/>
      <c r="V1053" s="320"/>
      <c r="W1053" s="320"/>
      <c r="X1053" s="331"/>
      <c r="Y1053" s="327"/>
    </row>
    <row r="1054" spans="1:27" x14ac:dyDescent="0.45">
      <c r="A1054" s="313">
        <v>16</v>
      </c>
      <c r="B1054" s="424" t="s">
        <v>1111</v>
      </c>
      <c r="C1054" s="425" t="s">
        <v>2135</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2566</v>
      </c>
      <c r="T1054" s="314">
        <v>0</v>
      </c>
      <c r="U1054" s="320"/>
      <c r="V1054" s="320"/>
      <c r="W1054" s="320"/>
      <c r="X1054" s="331"/>
      <c r="Y1054" s="320"/>
    </row>
    <row r="1055" spans="1:27" x14ac:dyDescent="0.45">
      <c r="A1055" s="313">
        <v>17</v>
      </c>
      <c r="B1055" s="424" t="s">
        <v>1112</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1113</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2566</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739</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740</v>
      </c>
      <c r="C1060" s="425" t="s">
        <v>1443</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2566</v>
      </c>
      <c r="T1060" s="314"/>
      <c r="U1060" s="320"/>
      <c r="V1060" s="320"/>
      <c r="W1060" s="320"/>
      <c r="X1060" s="331"/>
    </row>
    <row r="1061" spans="1:25" x14ac:dyDescent="0.45">
      <c r="A1061" s="313">
        <v>20</v>
      </c>
      <c r="B1061" s="427" t="s">
        <v>741</v>
      </c>
      <c r="C1061" s="428" t="s">
        <v>1921</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2566</v>
      </c>
      <c r="T1061" s="314"/>
      <c r="U1061" s="320"/>
      <c r="V1061" s="320"/>
      <c r="W1061" s="320"/>
      <c r="X1061" s="331"/>
      <c r="Y1061" s="320"/>
    </row>
    <row r="1062" spans="1:25" x14ac:dyDescent="0.45">
      <c r="A1062" s="313">
        <v>21</v>
      </c>
      <c r="B1062" s="424" t="s">
        <v>742</v>
      </c>
      <c r="C1062" s="428" t="s">
        <v>1921</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2566</v>
      </c>
      <c r="T1062" s="314"/>
      <c r="U1062" s="320"/>
      <c r="V1062" s="320"/>
      <c r="W1062" s="320"/>
      <c r="X1062" s="331"/>
      <c r="Y1062" s="320"/>
    </row>
    <row r="1063" spans="1:25" x14ac:dyDescent="0.45">
      <c r="A1063" s="313">
        <v>22</v>
      </c>
      <c r="B1063" s="424" t="s">
        <v>743</v>
      </c>
      <c r="C1063" s="428" t="s">
        <v>1920</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2566</v>
      </c>
      <c r="T1063" s="314"/>
      <c r="U1063" s="320"/>
      <c r="V1063" s="320"/>
      <c r="W1063" s="320"/>
      <c r="X1063" s="331"/>
      <c r="Y1063" s="320"/>
    </row>
    <row r="1064" spans="1:25" x14ac:dyDescent="0.45">
      <c r="A1064" s="313">
        <v>23</v>
      </c>
      <c r="B1064" s="424" t="s">
        <v>744</v>
      </c>
      <c r="C1064" s="428" t="s">
        <v>1922</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2566</v>
      </c>
      <c r="T1064" s="314"/>
      <c r="U1064" s="320"/>
      <c r="V1064" s="320"/>
      <c r="W1064" s="320"/>
      <c r="X1064" s="331"/>
      <c r="Y1064" s="320"/>
    </row>
    <row r="1065" spans="1:25" x14ac:dyDescent="0.45">
      <c r="A1065" s="313">
        <v>24</v>
      </c>
      <c r="B1065" s="424" t="s">
        <v>745</v>
      </c>
      <c r="C1065" s="428" t="s">
        <v>1923</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2566</v>
      </c>
      <c r="T1065" s="314"/>
      <c r="U1065" s="320"/>
      <c r="V1065" s="320"/>
      <c r="W1065" s="320"/>
      <c r="X1065" s="331"/>
      <c r="Y1065" s="320"/>
    </row>
    <row r="1066" spans="1:25" x14ac:dyDescent="0.45">
      <c r="A1066" s="313">
        <v>25</v>
      </c>
      <c r="B1066" s="424" t="s">
        <v>746</v>
      </c>
      <c r="C1066" s="428" t="s">
        <v>1924</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2566</v>
      </c>
      <c r="T1066" s="314"/>
      <c r="U1066" s="320"/>
      <c r="V1066" s="320"/>
      <c r="W1066" s="320"/>
      <c r="X1066" s="331"/>
      <c r="Y1066" s="320"/>
    </row>
    <row r="1067" spans="1:25" x14ac:dyDescent="0.45">
      <c r="A1067" s="313">
        <v>26</v>
      </c>
      <c r="B1067" s="424" t="s">
        <v>747</v>
      </c>
      <c r="C1067" s="428" t="s">
        <v>1923</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2566</v>
      </c>
      <c r="T1067" s="314"/>
      <c r="U1067" s="320"/>
      <c r="V1067" s="320"/>
      <c r="W1067" s="320"/>
      <c r="X1067" s="331"/>
      <c r="Y1067" s="320"/>
    </row>
    <row r="1068" spans="1:25" x14ac:dyDescent="0.45">
      <c r="A1068" s="313">
        <v>27</v>
      </c>
      <c r="B1068" s="424" t="s">
        <v>748</v>
      </c>
      <c r="C1068" s="425" t="s">
        <v>1443</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2566</v>
      </c>
      <c r="T1068" s="314"/>
      <c r="U1068" s="320"/>
      <c r="V1068" s="320"/>
      <c r="W1068" s="320"/>
      <c r="X1068" s="331"/>
      <c r="Y1068" s="320"/>
    </row>
    <row r="1069" spans="1:25" x14ac:dyDescent="0.45">
      <c r="A1069" s="313">
        <v>28</v>
      </c>
      <c r="B1069" s="424" t="s">
        <v>749</v>
      </c>
      <c r="C1069" s="425" t="s">
        <v>1443</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2566</v>
      </c>
      <c r="T1069" s="314"/>
      <c r="U1069" s="320"/>
      <c r="V1069" s="320"/>
      <c r="W1069" s="320"/>
      <c r="X1069" s="331"/>
      <c r="Y1069" s="320"/>
    </row>
    <row r="1070" spans="1:25" x14ac:dyDescent="0.45">
      <c r="A1070" s="313">
        <v>29</v>
      </c>
      <c r="B1070" s="424" t="s">
        <v>750</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751</v>
      </c>
      <c r="C1071" s="425" t="s">
        <v>1443</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2566</v>
      </c>
      <c r="T1071" s="314"/>
      <c r="U1071" s="320"/>
      <c r="V1071" s="320"/>
      <c r="W1071" s="320"/>
      <c r="X1071" s="331"/>
    </row>
    <row r="1072" spans="1:25" x14ac:dyDescent="0.45">
      <c r="A1072" s="313">
        <v>31</v>
      </c>
      <c r="B1072" s="424" t="s">
        <v>752</v>
      </c>
      <c r="C1072" s="428" t="s">
        <v>1921</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2566</v>
      </c>
      <c r="T1072" s="314"/>
      <c r="U1072" s="320"/>
      <c r="V1072" s="320"/>
      <c r="W1072" s="320"/>
      <c r="X1072" s="331"/>
      <c r="Y1072" s="320"/>
    </row>
    <row r="1073" spans="1:25" x14ac:dyDescent="0.45">
      <c r="A1073" s="313">
        <v>32</v>
      </c>
      <c r="B1073" s="424" t="s">
        <v>753</v>
      </c>
      <c r="C1073" s="428" t="s">
        <v>1921</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2566</v>
      </c>
      <c r="T1073" s="314" t="s">
        <v>2312</v>
      </c>
      <c r="U1073" s="320"/>
      <c r="V1073" s="320"/>
      <c r="W1073" s="320"/>
      <c r="X1073" s="331"/>
      <c r="Y1073" s="320"/>
    </row>
    <row r="1074" spans="1:25" x14ac:dyDescent="0.45">
      <c r="A1074" s="313">
        <v>33</v>
      </c>
      <c r="B1074" s="424" t="s">
        <v>754</v>
      </c>
      <c r="C1074" s="428" t="s">
        <v>1920</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755</v>
      </c>
      <c r="C1075" s="428" t="s">
        <v>1922</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2566</v>
      </c>
      <c r="T1075" s="314" t="s">
        <v>2311</v>
      </c>
      <c r="U1075" s="320"/>
      <c r="V1075" s="320"/>
      <c r="W1075" s="320"/>
      <c r="X1075" s="331"/>
      <c r="Y1075" s="327"/>
    </row>
    <row r="1076" spans="1:25" x14ac:dyDescent="0.45">
      <c r="A1076" s="313">
        <v>35</v>
      </c>
      <c r="B1076" s="424" t="s">
        <v>756</v>
      </c>
      <c r="C1076" s="428" t="s">
        <v>1926</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2566</v>
      </c>
      <c r="T1076" s="314">
        <v>0</v>
      </c>
      <c r="U1076" s="320"/>
      <c r="V1076" s="320"/>
      <c r="W1076" s="320"/>
      <c r="X1076" s="331"/>
      <c r="Y1076" s="355"/>
    </row>
    <row r="1077" spans="1:25" x14ac:dyDescent="0.45">
      <c r="A1077" s="313">
        <v>36</v>
      </c>
      <c r="B1077" s="424" t="s">
        <v>757</v>
      </c>
      <c r="C1077" s="428" t="s">
        <v>1923</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2566</v>
      </c>
      <c r="T1077" s="314" t="s">
        <v>2514</v>
      </c>
      <c r="U1077" s="320"/>
      <c r="V1077" s="320"/>
      <c r="W1077" s="320"/>
      <c r="X1077" s="331"/>
      <c r="Y1077" s="327"/>
    </row>
    <row r="1078" spans="1:25" x14ac:dyDescent="0.45">
      <c r="A1078" s="313">
        <v>37</v>
      </c>
      <c r="B1078" s="424" t="s">
        <v>758</v>
      </c>
      <c r="C1078" s="428" t="s">
        <v>1924</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2566</v>
      </c>
      <c r="T1078" s="314">
        <v>479195</v>
      </c>
      <c r="U1078" s="320"/>
      <c r="V1078" s="320"/>
      <c r="W1078" s="320"/>
      <c r="X1078" s="331"/>
      <c r="Y1078" s="355"/>
    </row>
    <row r="1079" spans="1:25" x14ac:dyDescent="0.45">
      <c r="A1079" s="313">
        <v>38</v>
      </c>
      <c r="B1079" s="424" t="s">
        <v>759</v>
      </c>
      <c r="C1079" s="425" t="s">
        <v>1443</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2566</v>
      </c>
      <c r="T1079" s="314"/>
      <c r="U1079" s="320"/>
      <c r="V1079" s="320"/>
      <c r="W1079" s="320"/>
      <c r="X1079" s="331"/>
      <c r="Y1079" s="327"/>
    </row>
    <row r="1080" spans="1:25" x14ac:dyDescent="0.45">
      <c r="A1080" s="313">
        <v>39</v>
      </c>
      <c r="B1080" s="424" t="s">
        <v>760</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761</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1095</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762</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738</v>
      </c>
      <c r="C1088" s="425" t="s">
        <v>536</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2566</v>
      </c>
      <c r="T1088" s="314"/>
      <c r="U1088" s="320"/>
      <c r="V1088" s="320"/>
      <c r="W1088" s="320"/>
      <c r="X1088" s="331"/>
    </row>
    <row r="1089" spans="1:25" x14ac:dyDescent="0.45">
      <c r="A1089" s="313">
        <v>2</v>
      </c>
      <c r="B1089" s="424" t="s">
        <v>327</v>
      </c>
      <c r="C1089" s="425" t="s">
        <v>1396</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2566</v>
      </c>
      <c r="T1089" s="314"/>
      <c r="U1089" s="320"/>
      <c r="V1089" s="320"/>
      <c r="W1089" s="320"/>
      <c r="X1089" s="331"/>
      <c r="Y1089" s="320"/>
    </row>
    <row r="1090" spans="1:25" x14ac:dyDescent="0.45">
      <c r="A1090" s="313">
        <v>3</v>
      </c>
      <c r="B1090" s="424" t="s">
        <v>328</v>
      </c>
      <c r="C1090" s="425" t="s">
        <v>1398</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2566</v>
      </c>
      <c r="T1090" s="314"/>
      <c r="U1090" s="320"/>
      <c r="V1090" s="320"/>
      <c r="W1090" s="320"/>
      <c r="X1090" s="331"/>
      <c r="Y1090" s="320"/>
    </row>
    <row r="1091" spans="1:25" x14ac:dyDescent="0.45">
      <c r="A1091" s="313">
        <v>4</v>
      </c>
      <c r="B1091" s="424" t="s">
        <v>329</v>
      </c>
      <c r="C1091" s="425" t="s">
        <v>1400</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2566</v>
      </c>
      <c r="T1091" s="314"/>
      <c r="U1091" s="320"/>
      <c r="V1091" s="320"/>
      <c r="W1091" s="320"/>
      <c r="X1091" s="331"/>
      <c r="Y1091" s="320"/>
    </row>
    <row r="1092" spans="1:25" x14ac:dyDescent="0.45">
      <c r="A1092" s="313">
        <v>5</v>
      </c>
      <c r="B1092" s="424" t="s">
        <v>330</v>
      </c>
      <c r="C1092" s="428" t="s">
        <v>1927</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2566</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542</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2566</v>
      </c>
      <c r="T1096" s="314"/>
      <c r="U1096" s="320"/>
      <c r="V1096" s="320"/>
      <c r="W1096" s="320"/>
      <c r="X1096" s="331"/>
    </row>
    <row r="1097" spans="1:25" x14ac:dyDescent="0.45">
      <c r="A1097" s="313">
        <v>8</v>
      </c>
      <c r="B1097" s="424" t="s">
        <v>334</v>
      </c>
      <c r="C1097" s="425" t="s">
        <v>1410</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2566</v>
      </c>
      <c r="T1097" s="314"/>
      <c r="U1097" s="320"/>
      <c r="V1097" s="320"/>
      <c r="W1097" s="320"/>
      <c r="X1097" s="331"/>
      <c r="Y1097" s="320"/>
    </row>
    <row r="1098" spans="1:25" x14ac:dyDescent="0.45">
      <c r="A1098" s="313">
        <v>9</v>
      </c>
      <c r="B1098" s="424" t="s">
        <v>335</v>
      </c>
      <c r="C1098" s="425" t="s">
        <v>1412</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2566</v>
      </c>
      <c r="T1098" s="314"/>
      <c r="U1098" s="320"/>
      <c r="V1098" s="320"/>
      <c r="W1098" s="320"/>
      <c r="X1098" s="331"/>
      <c r="Y1098" s="320"/>
    </row>
    <row r="1099" spans="1:25" x14ac:dyDescent="0.45">
      <c r="A1099" s="313">
        <v>10</v>
      </c>
      <c r="B1099" s="424" t="s">
        <v>336</v>
      </c>
      <c r="C1099" s="428" t="s">
        <v>1928</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2566</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542</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2566</v>
      </c>
      <c r="T1103" s="314"/>
      <c r="U1103" s="320"/>
      <c r="V1103" s="320"/>
      <c r="W1103" s="320"/>
      <c r="X1103" s="331"/>
    </row>
    <row r="1104" spans="1:25" x14ac:dyDescent="0.45">
      <c r="A1104" s="313">
        <v>13</v>
      </c>
      <c r="B1104" s="424" t="s">
        <v>340</v>
      </c>
      <c r="C1104" s="425" t="s">
        <v>1414</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2566</v>
      </c>
      <c r="T1104" s="314"/>
      <c r="U1104" s="320"/>
      <c r="V1104" s="320"/>
      <c r="W1104" s="320"/>
      <c r="X1104" s="331"/>
      <c r="Y1104" s="320"/>
    </row>
    <row r="1105" spans="1:25" x14ac:dyDescent="0.45">
      <c r="A1105" s="313">
        <v>14</v>
      </c>
      <c r="B1105" s="424" t="s">
        <v>341</v>
      </c>
      <c r="C1105" s="425" t="s">
        <v>1416</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2566</v>
      </c>
      <c r="T1105" s="314"/>
      <c r="U1105" s="320"/>
      <c r="V1105" s="320"/>
      <c r="W1105" s="320"/>
      <c r="X1105" s="331"/>
      <c r="Y1105" s="320"/>
    </row>
    <row r="1106" spans="1:25" x14ac:dyDescent="0.45">
      <c r="A1106" s="313">
        <v>15</v>
      </c>
      <c r="B1106" s="424" t="s">
        <v>342</v>
      </c>
      <c r="C1106" s="428" t="s">
        <v>1929</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2566</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1348</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2566</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1427</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2566</v>
      </c>
      <c r="T1116" s="314"/>
      <c r="U1116" s="320"/>
      <c r="V1116" s="320"/>
      <c r="W1116" s="320"/>
      <c r="X1116" s="331"/>
    </row>
    <row r="1117" spans="1:25" x14ac:dyDescent="0.45">
      <c r="A1117" s="313">
        <v>20</v>
      </c>
      <c r="B1117" s="424" t="s">
        <v>272</v>
      </c>
      <c r="C1117" s="425" t="s">
        <v>1427</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2566</v>
      </c>
      <c r="T1117" s="314"/>
      <c r="U1117" s="320"/>
      <c r="V1117" s="320"/>
      <c r="W1117" s="320"/>
      <c r="X1117" s="331"/>
      <c r="Y1117" s="320"/>
    </row>
    <row r="1118" spans="1:25" x14ac:dyDescent="0.45">
      <c r="A1118" s="313">
        <v>21</v>
      </c>
      <c r="B1118" s="424" t="s">
        <v>273</v>
      </c>
      <c r="C1118" s="425" t="s">
        <v>1427</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2566</v>
      </c>
      <c r="T1118" s="314"/>
      <c r="U1118" s="320"/>
      <c r="V1118" s="320"/>
      <c r="W1118" s="320"/>
      <c r="X1118" s="331"/>
      <c r="Y1118" s="320"/>
    </row>
    <row r="1119" spans="1:25" x14ac:dyDescent="0.45">
      <c r="A1119" s="313">
        <v>22</v>
      </c>
      <c r="B1119" s="424" t="s">
        <v>274</v>
      </c>
      <c r="C1119" s="425" t="s">
        <v>1427</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2566</v>
      </c>
      <c r="T1119" s="314"/>
      <c r="U1119" s="320"/>
      <c r="V1119" s="320"/>
      <c r="W1119" s="320"/>
      <c r="X1119" s="331"/>
      <c r="Y1119" s="320"/>
    </row>
    <row r="1120" spans="1:25" x14ac:dyDescent="0.45">
      <c r="A1120" s="313">
        <v>23</v>
      </c>
      <c r="B1120" s="424" t="s">
        <v>275</v>
      </c>
      <c r="C1120" s="425" t="s">
        <v>1427</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2566</v>
      </c>
      <c r="T1120" s="314"/>
      <c r="U1120" s="320"/>
      <c r="V1120" s="320"/>
      <c r="W1120" s="320"/>
      <c r="X1120" s="331"/>
      <c r="Y1120" s="355"/>
    </row>
    <row r="1121" spans="1:32" x14ac:dyDescent="0.45">
      <c r="A1121" s="313">
        <v>24</v>
      </c>
      <c r="B1121" s="424" t="s">
        <v>276</v>
      </c>
      <c r="C1121" s="425" t="s">
        <v>1427</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2566</v>
      </c>
      <c r="T1121" s="314"/>
      <c r="U1121" s="320" t="s">
        <v>2290</v>
      </c>
      <c r="V1121" s="320" t="s">
        <v>2291</v>
      </c>
      <c r="W1121" s="320" t="s">
        <v>2313</v>
      </c>
      <c r="X1121" s="331" t="s">
        <v>1254</v>
      </c>
      <c r="Y1121" s="332" t="s">
        <v>62</v>
      </c>
      <c r="Z1121" s="320" t="s">
        <v>2058</v>
      </c>
      <c r="AA1121" s="53" t="s">
        <v>2291</v>
      </c>
      <c r="AB1121" s="53" t="s">
        <v>2313</v>
      </c>
      <c r="AC1121" s="53" t="s">
        <v>1254</v>
      </c>
      <c r="AD1121" s="53" t="s">
        <v>62</v>
      </c>
      <c r="AE1121" s="53" t="s">
        <v>2058</v>
      </c>
      <c r="AF1121" s="53" t="s">
        <v>439</v>
      </c>
    </row>
    <row r="1122" spans="1:32" x14ac:dyDescent="0.45">
      <c r="A1122" s="313">
        <v>25</v>
      </c>
      <c r="B1122" s="424" t="s">
        <v>2204</v>
      </c>
      <c r="C1122" s="425" t="s">
        <v>2065</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2234</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2205</v>
      </c>
      <c r="C1123" s="425" t="s">
        <v>2065</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2235</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2206</v>
      </c>
      <c r="C1124" s="425" t="s">
        <v>2065</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2207</v>
      </c>
      <c r="C1125" s="425" t="s">
        <v>2065</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2208</v>
      </c>
      <c r="C1126" s="425" t="s">
        <v>2140</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2209</v>
      </c>
      <c r="C1127" s="425" t="s">
        <v>1427</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2566</v>
      </c>
      <c r="T1127" s="314" t="s">
        <v>2236</v>
      </c>
      <c r="U1127" s="362"/>
      <c r="V1127" s="362"/>
      <c r="W1127" s="320"/>
      <c r="X1127" s="331"/>
      <c r="Y1127" s="327"/>
      <c r="Z1127" s="327"/>
      <c r="AA1127" s="327"/>
      <c r="AB1127" s="59"/>
      <c r="AC1127" s="59"/>
      <c r="AD1127" s="59"/>
    </row>
    <row r="1128" spans="1:32" x14ac:dyDescent="0.45">
      <c r="A1128" s="313">
        <v>31</v>
      </c>
      <c r="B1128" s="424" t="s">
        <v>278</v>
      </c>
      <c r="C1128" s="425" t="s">
        <v>1427</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2566</v>
      </c>
      <c r="T1128" s="314" t="s">
        <v>2237</v>
      </c>
      <c r="U1128" s="362">
        <v>0</v>
      </c>
      <c r="V1128" s="362" t="s">
        <v>2314</v>
      </c>
      <c r="W1128" s="320"/>
      <c r="X1128" s="331"/>
      <c r="Y1128" s="320"/>
      <c r="AA1128" s="327" t="s">
        <v>2314</v>
      </c>
      <c r="AB1128" s="59"/>
      <c r="AC1128" s="59"/>
      <c r="AD1128" s="59"/>
    </row>
    <row r="1129" spans="1:32" x14ac:dyDescent="0.45">
      <c r="A1129" s="313">
        <v>32</v>
      </c>
      <c r="B1129" s="424" t="s">
        <v>279</v>
      </c>
      <c r="C1129" s="425" t="s">
        <v>1427</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2566</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2210</v>
      </c>
      <c r="C1133" s="425" t="s">
        <v>2065</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2065</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1773</v>
      </c>
      <c r="U1135" s="320" t="s">
        <v>1774</v>
      </c>
      <c r="V1135" s="320" t="s">
        <v>1775</v>
      </c>
      <c r="W1135" s="320" t="s">
        <v>1776</v>
      </c>
      <c r="X1135" s="320" t="s">
        <v>1254</v>
      </c>
      <c r="Y1135" s="320" t="s">
        <v>62</v>
      </c>
      <c r="AA1135" s="53" t="s">
        <v>1775</v>
      </c>
      <c r="AB1135" s="53" t="s">
        <v>1776</v>
      </c>
      <c r="AC1135" s="53" t="s">
        <v>1254</v>
      </c>
      <c r="AD1135" s="53" t="s">
        <v>62</v>
      </c>
      <c r="AE1135" s="336"/>
    </row>
    <row r="1136" spans="1:32" x14ac:dyDescent="0.45">
      <c r="A1136" s="313">
        <v>37</v>
      </c>
      <c r="B1136" s="424" t="s">
        <v>284</v>
      </c>
      <c r="C1136" s="425" t="s">
        <v>1378</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2566</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2315</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2316</v>
      </c>
      <c r="U1138" s="496">
        <v>12442</v>
      </c>
      <c r="V1138" s="320"/>
      <c r="W1138" s="320"/>
      <c r="Y1138" s="317"/>
      <c r="Z1138" s="327"/>
      <c r="AC1138" s="59"/>
    </row>
    <row r="1139" spans="1:34" x14ac:dyDescent="0.45">
      <c r="A1139" s="313">
        <v>39</v>
      </c>
      <c r="B1139" s="424" t="s">
        <v>286</v>
      </c>
      <c r="C1139" s="425" t="s">
        <v>877</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2566</v>
      </c>
      <c r="T1139" s="314"/>
      <c r="U1139" s="320"/>
      <c r="V1139" s="320"/>
      <c r="W1139" s="320"/>
      <c r="Y1139" s="317"/>
      <c r="Z1139" s="59"/>
      <c r="AE1139" s="318"/>
    </row>
    <row r="1140" spans="1:34" x14ac:dyDescent="0.45">
      <c r="A1140" s="313">
        <v>40</v>
      </c>
      <c r="B1140" s="424" t="s">
        <v>277</v>
      </c>
      <c r="C1140" s="425" t="s">
        <v>877</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2566</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2317</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1171</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1172</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1429</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1272</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1173</v>
      </c>
      <c r="R1155" s="314"/>
      <c r="S1155" s="314"/>
      <c r="T1155" s="314"/>
      <c r="U1155" s="320"/>
      <c r="W1155" s="320"/>
      <c r="X1155" s="320"/>
      <c r="Y1155" s="320"/>
    </row>
    <row r="1156" spans="1:25" x14ac:dyDescent="0.45">
      <c r="A1156" s="313">
        <v>3</v>
      </c>
      <c r="B1156" s="424" t="s">
        <v>12</v>
      </c>
      <c r="C1156" s="425" t="s">
        <v>1278</v>
      </c>
      <c r="D1156" s="314">
        <v>188563</v>
      </c>
      <c r="E1156" s="314"/>
      <c r="F1156" s="314">
        <v>145498</v>
      </c>
      <c r="G1156" s="314"/>
      <c r="H1156" s="314">
        <v>0</v>
      </c>
      <c r="I1156" s="314"/>
      <c r="J1156" s="314">
        <v>43065</v>
      </c>
      <c r="K1156" s="314">
        <v>21845</v>
      </c>
      <c r="L1156" s="314">
        <v>21220</v>
      </c>
      <c r="M1156" s="314"/>
      <c r="N1156" s="314"/>
      <c r="O1156" s="314">
        <v>188563</v>
      </c>
      <c r="P1156" s="314"/>
      <c r="Q1156" s="314" t="s">
        <v>1173</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2515</v>
      </c>
      <c r="Q1157" s="314" t="s">
        <v>1174</v>
      </c>
      <c r="R1157" s="314"/>
      <c r="S1157" s="314" t="s">
        <v>2290</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1433</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1272</v>
      </c>
      <c r="D1161" s="314">
        <v>12</v>
      </c>
      <c r="E1161" s="314"/>
      <c r="F1161" s="314">
        <v>6</v>
      </c>
      <c r="G1161" s="314"/>
      <c r="H1161" s="314">
        <v>4</v>
      </c>
      <c r="I1161" s="314"/>
      <c r="J1161" s="314">
        <v>2</v>
      </c>
      <c r="K1161" s="314">
        <v>1</v>
      </c>
      <c r="L1161" s="314">
        <v>1</v>
      </c>
      <c r="M1161" s="314"/>
      <c r="N1161" s="314"/>
      <c r="O1161" s="314">
        <v>12</v>
      </c>
      <c r="P1161" s="314"/>
      <c r="Q1161" s="314" t="s">
        <v>1173</v>
      </c>
      <c r="R1161" s="314"/>
      <c r="S1161" s="314"/>
      <c r="T1161" s="314"/>
      <c r="U1161" s="320"/>
      <c r="V1161" s="320"/>
      <c r="W1161" s="320"/>
      <c r="X1161" s="320"/>
    </row>
    <row r="1162" spans="1:25" x14ac:dyDescent="0.45">
      <c r="A1162" s="313">
        <v>7</v>
      </c>
      <c r="B1162" s="424" t="s">
        <v>12</v>
      </c>
      <c r="C1162" s="425" t="s">
        <v>1278</v>
      </c>
      <c r="D1162" s="314">
        <v>736</v>
      </c>
      <c r="E1162" s="314"/>
      <c r="F1162" s="314">
        <v>568</v>
      </c>
      <c r="G1162" s="314"/>
      <c r="H1162" s="314">
        <v>0</v>
      </c>
      <c r="I1162" s="314"/>
      <c r="J1162" s="314">
        <v>168</v>
      </c>
      <c r="K1162" s="314">
        <v>85</v>
      </c>
      <c r="L1162" s="314">
        <v>83</v>
      </c>
      <c r="M1162" s="314"/>
      <c r="N1162" s="314"/>
      <c r="O1162" s="314">
        <v>736</v>
      </c>
      <c r="P1162" s="314"/>
      <c r="Q1162" s="314" t="s">
        <v>1173</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2516</v>
      </c>
      <c r="Q1163" s="314" t="s">
        <v>1174</v>
      </c>
      <c r="R1163" s="314"/>
      <c r="S1163" s="314" t="s">
        <v>2290</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1435</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1272</v>
      </c>
      <c r="D1167" s="314">
        <v>44</v>
      </c>
      <c r="E1167" s="314"/>
      <c r="F1167" s="314">
        <v>23</v>
      </c>
      <c r="G1167" s="314"/>
      <c r="H1167" s="314">
        <v>15</v>
      </c>
      <c r="I1167" s="314"/>
      <c r="J1167" s="314">
        <v>7</v>
      </c>
      <c r="K1167" s="314">
        <v>3</v>
      </c>
      <c r="L1167" s="314">
        <v>3</v>
      </c>
      <c r="M1167" s="314"/>
      <c r="N1167" s="314"/>
      <c r="O1167" s="314">
        <v>44</v>
      </c>
      <c r="P1167" s="314"/>
      <c r="Q1167" s="314" t="s">
        <v>1173</v>
      </c>
      <c r="R1167" s="314"/>
      <c r="S1167" s="314"/>
      <c r="T1167" s="314"/>
      <c r="U1167" s="320"/>
      <c r="V1167" s="320"/>
      <c r="W1167" s="320"/>
      <c r="X1167" s="320"/>
      <c r="Y1167" s="320"/>
    </row>
    <row r="1168" spans="1:25" x14ac:dyDescent="0.45">
      <c r="A1168" s="313">
        <v>11</v>
      </c>
      <c r="B1168" s="424" t="s">
        <v>12</v>
      </c>
      <c r="C1168" s="425" t="s">
        <v>1278</v>
      </c>
      <c r="D1168" s="314">
        <v>40387</v>
      </c>
      <c r="E1168" s="314"/>
      <c r="F1168" s="314">
        <v>31163</v>
      </c>
      <c r="G1168" s="314"/>
      <c r="H1168" s="314">
        <v>0</v>
      </c>
      <c r="I1168" s="314"/>
      <c r="J1168" s="314">
        <v>9224</v>
      </c>
      <c r="K1168" s="314">
        <v>4679</v>
      </c>
      <c r="L1168" s="314">
        <v>4545</v>
      </c>
      <c r="M1168" s="314"/>
      <c r="N1168" s="314"/>
      <c r="O1168" s="314">
        <v>40387</v>
      </c>
      <c r="P1168" s="314"/>
      <c r="Q1168" s="314" t="s">
        <v>1173</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1297</v>
      </c>
      <c r="Q1169" s="314" t="s">
        <v>1174</v>
      </c>
      <c r="R1169" s="314"/>
      <c r="S1169" s="314" t="s">
        <v>2290</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1068</v>
      </c>
      <c r="C1174" s="425" t="s">
        <v>2142</v>
      </c>
      <c r="D1174" s="314">
        <v>31568609</v>
      </c>
      <c r="E1174" s="314"/>
      <c r="F1174" s="314">
        <v>30191755</v>
      </c>
      <c r="G1174" s="314"/>
      <c r="H1174" s="314">
        <v>1376854</v>
      </c>
      <c r="I1174" s="314"/>
      <c r="J1174" s="314">
        <v>0</v>
      </c>
      <c r="K1174" s="314">
        <v>0</v>
      </c>
      <c r="L1174" s="314">
        <v>0</v>
      </c>
      <c r="M1174" s="314"/>
      <c r="N1174" s="314"/>
      <c r="O1174" s="314">
        <v>31568609</v>
      </c>
      <c r="P1174" s="314"/>
      <c r="Q1174" s="314" t="s">
        <v>1175</v>
      </c>
      <c r="R1174" s="314"/>
      <c r="S1174" s="314"/>
      <c r="T1174" s="314"/>
      <c r="W1174" s="320"/>
    </row>
    <row r="1175" spans="1:28" x14ac:dyDescent="0.45">
      <c r="A1175" s="313">
        <v>15</v>
      </c>
      <c r="B1175" s="424" t="s">
        <v>1071</v>
      </c>
      <c r="C1175" s="425" t="s">
        <v>1345</v>
      </c>
      <c r="D1175" s="314">
        <v>2398816</v>
      </c>
      <c r="E1175" s="314"/>
      <c r="F1175" s="314">
        <v>192228</v>
      </c>
      <c r="G1175" s="314"/>
      <c r="H1175" s="314">
        <v>2206588</v>
      </c>
      <c r="I1175" s="314"/>
      <c r="J1175" s="314">
        <v>0</v>
      </c>
      <c r="K1175" s="314">
        <v>0</v>
      </c>
      <c r="L1175" s="314">
        <v>0</v>
      </c>
      <c r="M1175" s="314"/>
      <c r="N1175" s="314"/>
      <c r="O1175" s="314">
        <v>2398816</v>
      </c>
      <c r="P1175" s="314" t="s">
        <v>1259</v>
      </c>
      <c r="Q1175" s="314" t="s">
        <v>1174</v>
      </c>
      <c r="R1175" s="314"/>
      <c r="S1175" s="314" t="s">
        <v>2291</v>
      </c>
      <c r="T1175" s="314"/>
      <c r="U1175" s="320"/>
      <c r="V1175" s="317"/>
      <c r="W1175" s="320"/>
      <c r="X1175" s="320"/>
      <c r="Y1175" s="320"/>
      <c r="Z1175" s="320"/>
      <c r="AA1175" s="320"/>
    </row>
    <row r="1176" spans="1:28" x14ac:dyDescent="0.45">
      <c r="A1176" s="313">
        <v>17</v>
      </c>
      <c r="B1176" s="424" t="s">
        <v>1059</v>
      </c>
      <c r="C1176" s="425" t="s">
        <v>1272</v>
      </c>
      <c r="D1176" s="314">
        <v>29637</v>
      </c>
      <c r="E1176" s="314"/>
      <c r="F1176" s="314">
        <v>15244</v>
      </c>
      <c r="G1176" s="314"/>
      <c r="H1176" s="314">
        <v>9880</v>
      </c>
      <c r="I1176" s="314"/>
      <c r="J1176" s="314">
        <v>4512</v>
      </c>
      <c r="K1176" s="314">
        <v>2289</v>
      </c>
      <c r="L1176" s="314">
        <v>2223</v>
      </c>
      <c r="M1176" s="314"/>
      <c r="N1176" s="314"/>
      <c r="O1176" s="314">
        <v>29637</v>
      </c>
      <c r="P1176" s="314"/>
      <c r="Q1176" s="314" t="s">
        <v>1173</v>
      </c>
      <c r="R1176" s="314"/>
      <c r="S1176" s="314"/>
      <c r="T1176" s="314"/>
      <c r="U1176" s="320"/>
      <c r="V1176" s="317"/>
      <c r="W1176" s="320"/>
    </row>
    <row r="1177" spans="1:28" x14ac:dyDescent="0.45">
      <c r="A1177" s="313">
        <v>18</v>
      </c>
      <c r="B1177" s="424" t="s">
        <v>1060</v>
      </c>
      <c r="C1177" s="425" t="s">
        <v>1278</v>
      </c>
      <c r="D1177" s="314">
        <v>7035</v>
      </c>
      <c r="E1177" s="314"/>
      <c r="F1177" s="314">
        <v>5428</v>
      </c>
      <c r="G1177" s="314"/>
      <c r="H1177" s="314">
        <v>0</v>
      </c>
      <c r="I1177" s="314"/>
      <c r="J1177" s="314">
        <v>1607</v>
      </c>
      <c r="K1177" s="314">
        <v>815</v>
      </c>
      <c r="L1177" s="314">
        <v>792</v>
      </c>
      <c r="M1177" s="314"/>
      <c r="N1177" s="314"/>
      <c r="O1177" s="314">
        <v>7035</v>
      </c>
      <c r="P1177" s="314"/>
      <c r="Q1177" s="314" t="s">
        <v>1173</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1259</v>
      </c>
      <c r="Q1178" s="314" t="s">
        <v>1174</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808</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2066</v>
      </c>
      <c r="C1181" s="425" t="s">
        <v>928</v>
      </c>
      <c r="D1181" s="314">
        <v>40214485</v>
      </c>
      <c r="E1181" s="314"/>
      <c r="F1181" s="314">
        <v>40149605</v>
      </c>
      <c r="G1181" s="314"/>
      <c r="H1181" s="314">
        <v>0</v>
      </c>
      <c r="I1181" s="314"/>
      <c r="J1181" s="314">
        <v>64880</v>
      </c>
      <c r="K1181" s="314">
        <v>64386</v>
      </c>
      <c r="L1181" s="314">
        <v>494</v>
      </c>
      <c r="M1181" s="314"/>
      <c r="N1181" s="314"/>
      <c r="O1181" s="314">
        <v>40214485</v>
      </c>
      <c r="P1181" s="314" t="s">
        <v>2517</v>
      </c>
      <c r="Q1181" s="314" t="s">
        <v>1174</v>
      </c>
      <c r="R1181" s="314"/>
      <c r="S1181" s="314" t="s">
        <v>2290</v>
      </c>
      <c r="T1181" s="314"/>
      <c r="W1181" s="320"/>
    </row>
    <row r="1182" spans="1:28" x14ac:dyDescent="0.45">
      <c r="A1182" s="313">
        <v>21</v>
      </c>
      <c r="B1182" s="427" t="s">
        <v>2067</v>
      </c>
      <c r="C1182" s="425" t="s">
        <v>28</v>
      </c>
      <c r="D1182" s="314">
        <v>1886418</v>
      </c>
      <c r="E1182" s="314"/>
      <c r="F1182" s="314">
        <v>0</v>
      </c>
      <c r="G1182" s="314"/>
      <c r="H1182" s="314">
        <v>1886418</v>
      </c>
      <c r="I1182" s="314"/>
      <c r="J1182" s="314">
        <v>0</v>
      </c>
      <c r="K1182" s="314">
        <v>0</v>
      </c>
      <c r="L1182" s="314">
        <v>0</v>
      </c>
      <c r="M1182" s="314"/>
      <c r="N1182" s="314"/>
      <c r="O1182" s="314">
        <v>1886418</v>
      </c>
      <c r="P1182" s="314" t="s">
        <v>2517</v>
      </c>
      <c r="Q1182" s="314" t="s">
        <v>1174</v>
      </c>
      <c r="R1182" s="314"/>
      <c r="S1182" s="314" t="s">
        <v>2291</v>
      </c>
      <c r="T1182" s="314"/>
      <c r="U1182" s="320"/>
      <c r="V1182" s="317"/>
      <c r="W1182" s="320"/>
    </row>
    <row r="1183" spans="1:28" x14ac:dyDescent="0.45">
      <c r="A1183" s="313">
        <v>22</v>
      </c>
      <c r="B1183" s="427" t="s">
        <v>2068</v>
      </c>
      <c r="C1183" s="425" t="s">
        <v>30</v>
      </c>
      <c r="D1183" s="314">
        <v>1631</v>
      </c>
      <c r="E1183" s="314"/>
      <c r="F1183" s="314">
        <v>1631</v>
      </c>
      <c r="G1183" s="314"/>
      <c r="H1183" s="314">
        <v>0</v>
      </c>
      <c r="I1183" s="314"/>
      <c r="J1183" s="314">
        <v>0</v>
      </c>
      <c r="K1183" s="314">
        <v>0</v>
      </c>
      <c r="L1183" s="314">
        <v>0</v>
      </c>
      <c r="M1183" s="314"/>
      <c r="N1183" s="314"/>
      <c r="O1183" s="314">
        <v>1631</v>
      </c>
      <c r="P1183" s="314" t="s">
        <v>2517</v>
      </c>
      <c r="Q1183" s="314" t="s">
        <v>1174</v>
      </c>
      <c r="R1183" s="314"/>
      <c r="S1183" s="314" t="s">
        <v>2313</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1174</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1447</v>
      </c>
      <c r="D1186" s="314">
        <v>14649926</v>
      </c>
      <c r="E1186" s="314"/>
      <c r="F1186" s="314">
        <v>13809821</v>
      </c>
      <c r="G1186" s="314"/>
      <c r="H1186" s="314">
        <v>677128</v>
      </c>
      <c r="I1186" s="314"/>
      <c r="J1186" s="314">
        <v>162977</v>
      </c>
      <c r="K1186" s="314">
        <v>84978</v>
      </c>
      <c r="L1186" s="314">
        <v>77999</v>
      </c>
      <c r="M1186" s="314"/>
      <c r="N1186" s="314"/>
      <c r="O1186" s="314">
        <v>14649926</v>
      </c>
      <c r="P1186" s="314" t="s">
        <v>2518</v>
      </c>
      <c r="Q1186" s="314" t="s">
        <v>1174</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1917</v>
      </c>
      <c r="D1188" s="314">
        <v>21922140</v>
      </c>
      <c r="E1188" s="314"/>
      <c r="F1188" s="314">
        <v>20490079</v>
      </c>
      <c r="G1188" s="314"/>
      <c r="H1188" s="314">
        <v>1142825</v>
      </c>
      <c r="I1188" s="314"/>
      <c r="J1188" s="314">
        <v>289236</v>
      </c>
      <c r="K1188" s="314">
        <v>151340</v>
      </c>
      <c r="L1188" s="314">
        <v>137896</v>
      </c>
      <c r="M1188" s="314"/>
      <c r="N1188" s="314"/>
      <c r="O1188" s="314">
        <v>21922140</v>
      </c>
      <c r="P1188" s="314" t="s">
        <v>2519</v>
      </c>
      <c r="Q1188" s="314" t="s">
        <v>1174</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1916</v>
      </c>
      <c r="D1190" s="314">
        <v>5241</v>
      </c>
      <c r="E1190" s="314"/>
      <c r="F1190" s="314">
        <v>5241</v>
      </c>
      <c r="G1190" s="314"/>
      <c r="H1190" s="314">
        <v>0</v>
      </c>
      <c r="I1190" s="314"/>
      <c r="J1190" s="314">
        <v>0</v>
      </c>
      <c r="K1190" s="314">
        <v>0</v>
      </c>
      <c r="L1190" s="314">
        <v>0</v>
      </c>
      <c r="M1190" s="314"/>
      <c r="N1190" s="314"/>
      <c r="O1190" s="314">
        <v>5241</v>
      </c>
      <c r="P1190" s="314" t="s">
        <v>2519</v>
      </c>
      <c r="Q1190" s="314" t="s">
        <v>1174</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2318</v>
      </c>
      <c r="U1191" s="320"/>
      <c r="V1191" s="317"/>
      <c r="W1191" s="320"/>
      <c r="X1191" s="320"/>
      <c r="Y1191" s="320"/>
    </row>
    <row r="1192" spans="1:33" x14ac:dyDescent="0.45">
      <c r="A1192" s="313">
        <v>27</v>
      </c>
      <c r="B1192" s="424" t="s">
        <v>799</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2211</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2212</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2238</v>
      </c>
      <c r="U1199" s="320" t="s">
        <v>2290</v>
      </c>
      <c r="V1199" s="53" t="s">
        <v>2291</v>
      </c>
      <c r="W1199" s="320" t="s">
        <v>2313</v>
      </c>
      <c r="X1199" s="53" t="s">
        <v>1254</v>
      </c>
      <c r="Y1199" s="53" t="s">
        <v>62</v>
      </c>
      <c r="Z1199" s="53" t="s">
        <v>2058</v>
      </c>
      <c r="AA1199" s="53" t="s">
        <v>2291</v>
      </c>
      <c r="AB1199" s="53" t="s">
        <v>2313</v>
      </c>
      <c r="AC1199" s="53" t="s">
        <v>1254</v>
      </c>
      <c r="AD1199" s="53" t="s">
        <v>62</v>
      </c>
      <c r="AE1199" s="53" t="s">
        <v>2058</v>
      </c>
      <c r="AF1199" s="53" t="s">
        <v>439</v>
      </c>
    </row>
    <row r="1200" spans="1:33" x14ac:dyDescent="0.45">
      <c r="A1200" s="45">
        <v>1</v>
      </c>
      <c r="B1200" s="424" t="s">
        <v>8</v>
      </c>
      <c r="C1200" s="425" t="s">
        <v>2065</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2239</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2225</v>
      </c>
    </row>
    <row r="1201" spans="1:30" x14ac:dyDescent="0.45">
      <c r="A1201" s="45">
        <v>2</v>
      </c>
      <c r="B1201" s="424" t="s">
        <v>14</v>
      </c>
      <c r="C1201" s="425" t="s">
        <v>1433</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1435</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1068</v>
      </c>
      <c r="C1207" s="425" t="s">
        <v>2142</v>
      </c>
      <c r="D1207" s="314">
        <v>0</v>
      </c>
      <c r="E1207" s="314"/>
      <c r="F1207" s="314">
        <v>0</v>
      </c>
      <c r="G1207" s="314"/>
      <c r="H1207" s="314">
        <v>0</v>
      </c>
      <c r="I1207" s="314"/>
      <c r="J1207" s="314">
        <v>0</v>
      </c>
      <c r="K1207" s="314">
        <v>0</v>
      </c>
      <c r="L1207" s="314">
        <v>0</v>
      </c>
      <c r="M1207" s="314"/>
      <c r="N1207" s="314"/>
      <c r="O1207" s="314">
        <v>0</v>
      </c>
      <c r="P1207" s="314"/>
      <c r="Q1207" s="314" t="s">
        <v>2239</v>
      </c>
      <c r="R1207" s="314"/>
      <c r="S1207" s="314"/>
      <c r="T1207" s="314"/>
      <c r="U1207" s="320"/>
      <c r="W1207" s="320"/>
    </row>
    <row r="1208" spans="1:30" x14ac:dyDescent="0.45">
      <c r="A1208" s="45">
        <v>6</v>
      </c>
      <c r="B1208" s="424" t="s">
        <v>1071</v>
      </c>
      <c r="C1208" s="425" t="s">
        <v>1345</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808</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800</v>
      </c>
      <c r="C1213" s="425" t="s">
        <v>928</v>
      </c>
      <c r="D1213" s="314">
        <v>0</v>
      </c>
      <c r="E1213" s="314"/>
      <c r="F1213" s="314">
        <v>0</v>
      </c>
      <c r="G1213" s="314"/>
      <c r="H1213" s="314">
        <v>0</v>
      </c>
      <c r="I1213" s="314"/>
      <c r="J1213" s="314">
        <v>0</v>
      </c>
      <c r="K1213" s="314">
        <v>0</v>
      </c>
      <c r="L1213" s="314">
        <v>0</v>
      </c>
      <c r="M1213" s="314"/>
      <c r="N1213" s="314"/>
      <c r="O1213" s="314">
        <v>0</v>
      </c>
      <c r="P1213" s="314"/>
      <c r="Q1213" s="314" t="s">
        <v>2239</v>
      </c>
      <c r="R1213" s="314"/>
      <c r="S1213" s="314"/>
      <c r="T1213" s="314"/>
      <c r="U1213" s="320"/>
      <c r="W1213" s="320"/>
    </row>
    <row r="1214" spans="1:30" x14ac:dyDescent="0.45">
      <c r="A1214" s="45">
        <v>9</v>
      </c>
      <c r="B1214" s="424" t="s">
        <v>801</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2213</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802</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1429</v>
      </c>
      <c r="D1223" s="314">
        <v>0</v>
      </c>
      <c r="E1223" s="314"/>
      <c r="F1223" s="314">
        <v>0</v>
      </c>
      <c r="G1223" s="314"/>
      <c r="H1223" s="314">
        <v>0</v>
      </c>
      <c r="I1223" s="314"/>
      <c r="J1223" s="314">
        <v>0</v>
      </c>
      <c r="K1223" s="314">
        <v>0</v>
      </c>
      <c r="L1223" s="314">
        <v>0</v>
      </c>
      <c r="M1223" s="314"/>
      <c r="N1223" s="314"/>
      <c r="O1223" s="314">
        <v>0</v>
      </c>
      <c r="P1223" s="314"/>
      <c r="Q1223" s="314" t="s">
        <v>2240</v>
      </c>
      <c r="R1223" s="314"/>
      <c r="S1223" s="314"/>
      <c r="T1223" s="314"/>
      <c r="U1223" s="320"/>
      <c r="W1223" s="320"/>
    </row>
    <row r="1224" spans="1:23" x14ac:dyDescent="0.45">
      <c r="A1224" s="45">
        <v>13</v>
      </c>
      <c r="B1224" s="424" t="s">
        <v>14</v>
      </c>
      <c r="C1224" s="425" t="s">
        <v>1433</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1435</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1068</v>
      </c>
      <c r="C1230" s="425" t="s">
        <v>2142</v>
      </c>
      <c r="D1230" s="314">
        <v>0</v>
      </c>
      <c r="E1230" s="314"/>
      <c r="F1230" s="314">
        <v>0</v>
      </c>
      <c r="G1230" s="314"/>
      <c r="H1230" s="314">
        <v>0</v>
      </c>
      <c r="I1230" s="314"/>
      <c r="J1230" s="314">
        <v>0</v>
      </c>
      <c r="K1230" s="314">
        <v>0</v>
      </c>
      <c r="L1230" s="314">
        <v>0</v>
      </c>
      <c r="M1230" s="314"/>
      <c r="N1230" s="314"/>
      <c r="O1230" s="314">
        <v>0</v>
      </c>
      <c r="P1230" s="314"/>
      <c r="Q1230" s="314" t="s">
        <v>2240</v>
      </c>
      <c r="R1230" s="314"/>
      <c r="S1230" s="314"/>
      <c r="T1230" s="314"/>
      <c r="U1230" s="320"/>
      <c r="W1230" s="320"/>
    </row>
    <row r="1231" spans="1:23" x14ac:dyDescent="0.45">
      <c r="A1231" s="45">
        <v>17</v>
      </c>
      <c r="B1231" s="424" t="s">
        <v>1071</v>
      </c>
      <c r="C1231" s="425" t="s">
        <v>1345</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1073</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1068</v>
      </c>
      <c r="C1236" s="425" t="s">
        <v>928</v>
      </c>
      <c r="D1236" s="314">
        <v>0</v>
      </c>
      <c r="E1236" s="314"/>
      <c r="F1236" s="314">
        <v>0</v>
      </c>
      <c r="G1236" s="314"/>
      <c r="H1236" s="314">
        <v>0</v>
      </c>
      <c r="I1236" s="314"/>
      <c r="J1236" s="314">
        <v>0</v>
      </c>
      <c r="K1236" s="314">
        <v>0</v>
      </c>
      <c r="L1236" s="314">
        <v>0</v>
      </c>
      <c r="M1236" s="314"/>
      <c r="N1236" s="314"/>
      <c r="O1236" s="314">
        <v>0</v>
      </c>
      <c r="P1236" s="314"/>
      <c r="Q1236" s="314" t="s">
        <v>2240</v>
      </c>
      <c r="R1236" s="314"/>
      <c r="S1236" s="314"/>
      <c r="T1236" s="314"/>
      <c r="U1236" s="320"/>
      <c r="W1236" s="320"/>
    </row>
    <row r="1237" spans="1:26" x14ac:dyDescent="0.45">
      <c r="A1237" s="45">
        <v>20</v>
      </c>
      <c r="B1237" s="424" t="s">
        <v>1071</v>
      </c>
      <c r="C1237" s="425" t="s">
        <v>939</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2241</v>
      </c>
      <c r="S1238" s="314" t="s">
        <v>803</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804</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805</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806</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807</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1919</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873</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2319</v>
      </c>
      <c r="C1249" s="425" t="s">
        <v>1427</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2320</v>
      </c>
      <c r="C1250" s="425" t="s">
        <v>1427</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1348</v>
      </c>
      <c r="D1251" s="314">
        <v>0</v>
      </c>
      <c r="E1251" s="314"/>
      <c r="F1251" s="314">
        <v>0</v>
      </c>
      <c r="G1251" s="314"/>
      <c r="H1251" s="314">
        <v>0</v>
      </c>
      <c r="I1251" s="314"/>
      <c r="J1251" s="314">
        <v>0</v>
      </c>
      <c r="K1251" s="314">
        <v>0</v>
      </c>
      <c r="L1251" s="314">
        <v>0</v>
      </c>
      <c r="M1251" s="314"/>
      <c r="N1251" s="314"/>
      <c r="O1251" s="314"/>
      <c r="P1251" s="314"/>
      <c r="Q1251" s="314"/>
      <c r="R1251" s="314" t="s">
        <v>1838</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1270</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2321</v>
      </c>
      <c r="T1254" s="314"/>
      <c r="W1254" s="320"/>
    </row>
    <row r="1255" spans="1:26" x14ac:dyDescent="0.45">
      <c r="A1255" s="313">
        <v>9</v>
      </c>
      <c r="B1255" s="427" t="s">
        <v>1777</v>
      </c>
      <c r="C1255" s="425" t="s">
        <v>1348</v>
      </c>
      <c r="D1255" s="314">
        <v>0</v>
      </c>
      <c r="E1255" s="314"/>
      <c r="F1255" s="314">
        <v>0</v>
      </c>
      <c r="G1255" s="314"/>
      <c r="H1255" s="314">
        <v>0</v>
      </c>
      <c r="I1255" s="314"/>
      <c r="J1255" s="314">
        <v>0</v>
      </c>
      <c r="K1255" s="314">
        <v>0</v>
      </c>
      <c r="L1255" s="314">
        <v>0</v>
      </c>
      <c r="M1255" s="314"/>
      <c r="N1255" s="314"/>
      <c r="O1255" s="314">
        <v>0</v>
      </c>
      <c r="P1255" s="314"/>
      <c r="Q1255" s="314" t="s">
        <v>2242</v>
      </c>
      <c r="R1255" s="314"/>
      <c r="S1255" s="314">
        <v>0</v>
      </c>
      <c r="T1255" s="314">
        <v>0</v>
      </c>
      <c r="U1255" s="320"/>
      <c r="V1255" s="320"/>
      <c r="W1255" s="320"/>
      <c r="X1255" s="320"/>
      <c r="Y1255" s="320"/>
    </row>
    <row r="1256" spans="1:26" x14ac:dyDescent="0.45">
      <c r="A1256" s="313">
        <v>10</v>
      </c>
      <c r="B1256" s="427" t="s">
        <v>1778</v>
      </c>
      <c r="C1256" s="425" t="s">
        <v>1427</v>
      </c>
      <c r="D1256" s="314">
        <v>194934</v>
      </c>
      <c r="E1256" s="314"/>
      <c r="F1256" s="314">
        <v>0</v>
      </c>
      <c r="G1256" s="314"/>
      <c r="H1256" s="314">
        <v>4637</v>
      </c>
      <c r="I1256" s="314"/>
      <c r="J1256" s="314">
        <v>0</v>
      </c>
      <c r="K1256" s="314">
        <v>0</v>
      </c>
      <c r="L1256" s="314">
        <v>0</v>
      </c>
      <c r="M1256" s="314"/>
      <c r="N1256" s="314"/>
      <c r="O1256" s="314">
        <v>97467</v>
      </c>
      <c r="P1256" s="314" t="s">
        <v>1779</v>
      </c>
      <c r="Q1256" s="314" t="s">
        <v>1780</v>
      </c>
      <c r="R1256" s="314"/>
      <c r="S1256" s="314" t="s">
        <v>2243</v>
      </c>
      <c r="T1256" s="314" t="s">
        <v>2322</v>
      </c>
      <c r="U1256" s="320" t="s">
        <v>1781</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2069</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589</v>
      </c>
      <c r="C1260" s="425" t="s">
        <v>913</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590</v>
      </c>
      <c r="C1261" s="425" t="s">
        <v>2135</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591</v>
      </c>
      <c r="C1262" s="425" t="s">
        <v>1345</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1375</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593</v>
      </c>
      <c r="C1264" s="425" t="s">
        <v>939</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594</v>
      </c>
      <c r="C1265" s="425" t="s">
        <v>1447</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2323</v>
      </c>
      <c r="Q1279" s="314"/>
      <c r="R1279" s="314">
        <v>-133454718.95</v>
      </c>
      <c r="S1279" s="314" t="s">
        <v>2546</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2155</v>
      </c>
      <c r="W1289" s="320"/>
      <c r="Z1289" s="320"/>
      <c r="AA1289" s="320"/>
    </row>
    <row r="1290" spans="1:27" x14ac:dyDescent="0.45">
      <c r="A1290" s="313">
        <v>6</v>
      </c>
      <c r="B1290" s="424" t="s">
        <v>326</v>
      </c>
      <c r="C1290" s="425" t="s">
        <v>1420</v>
      </c>
      <c r="D1290" s="314">
        <v>0</v>
      </c>
      <c r="E1290" s="314"/>
      <c r="F1290" s="314">
        <v>0</v>
      </c>
      <c r="G1290" s="314"/>
      <c r="H1290" s="314">
        <v>18854</v>
      </c>
      <c r="I1290" s="314"/>
      <c r="J1290" s="314">
        <v>0</v>
      </c>
      <c r="K1290" s="314">
        <v>0</v>
      </c>
      <c r="L1290" s="314">
        <v>0</v>
      </c>
      <c r="M1290" s="314"/>
      <c r="N1290" s="314"/>
      <c r="O1290" s="314">
        <v>532644</v>
      </c>
      <c r="P1290" s="314"/>
      <c r="Q1290" s="314" t="s">
        <v>1782</v>
      </c>
      <c r="R1290" s="314"/>
      <c r="S1290" s="314"/>
      <c r="T1290" s="314">
        <v>513790</v>
      </c>
      <c r="U1290" s="320"/>
      <c r="V1290" s="320"/>
      <c r="W1290" s="320"/>
      <c r="X1290" s="320"/>
      <c r="Y1290" s="325"/>
    </row>
    <row r="1291" spans="1:27" x14ac:dyDescent="0.45">
      <c r="A1291" s="313">
        <v>7</v>
      </c>
      <c r="B1291" s="424" t="s">
        <v>2547</v>
      </c>
      <c r="C1291" s="425" t="s">
        <v>2502</v>
      </c>
      <c r="D1291" s="458">
        <v>-183431</v>
      </c>
      <c r="E1291" s="314"/>
      <c r="F1291" s="314">
        <v>-172632</v>
      </c>
      <c r="G1291" s="314"/>
      <c r="H1291" s="314">
        <v>-9210</v>
      </c>
      <c r="I1291" s="314"/>
      <c r="J1291" s="314">
        <v>-1589</v>
      </c>
      <c r="K1291" s="314">
        <v>-1589</v>
      </c>
      <c r="L1291" s="314">
        <v>0</v>
      </c>
      <c r="M1291" s="314"/>
      <c r="N1291" s="314"/>
      <c r="O1291" s="314">
        <v>-183431</v>
      </c>
      <c r="P1291" s="314"/>
      <c r="Q1291" s="314" t="s">
        <v>2548</v>
      </c>
      <c r="R1291" s="314"/>
      <c r="S1291" s="314"/>
      <c r="T1291" s="314"/>
      <c r="U1291" s="320"/>
      <c r="V1291" s="320"/>
      <c r="W1291" s="320"/>
      <c r="X1291" s="320"/>
      <c r="Y1291" s="325"/>
    </row>
    <row r="1292" spans="1:27" x14ac:dyDescent="0.45">
      <c r="A1292" s="313">
        <v>8</v>
      </c>
      <c r="B1292" s="424" t="s">
        <v>1313</v>
      </c>
      <c r="C1292" s="425" t="s">
        <v>2477</v>
      </c>
      <c r="D1292" s="314">
        <v>-9450</v>
      </c>
      <c r="E1292" s="314"/>
      <c r="F1292" s="314">
        <v>0</v>
      </c>
      <c r="G1292" s="314"/>
      <c r="H1292" s="314">
        <v>0</v>
      </c>
      <c r="I1292" s="314"/>
      <c r="J1292" s="314">
        <v>-9450</v>
      </c>
      <c r="K1292" s="314">
        <v>-4794</v>
      </c>
      <c r="L1292" s="314">
        <v>-4656</v>
      </c>
      <c r="M1292" s="314"/>
      <c r="N1292" s="314"/>
      <c r="O1292" s="314">
        <v>-9450</v>
      </c>
      <c r="P1292" s="314"/>
      <c r="Q1292" s="314" t="s">
        <v>2549</v>
      </c>
      <c r="R1292" s="314"/>
      <c r="S1292" s="314"/>
      <c r="T1292" s="314"/>
      <c r="U1292" s="320"/>
      <c r="V1292" s="320"/>
      <c r="W1292" s="320"/>
      <c r="X1292" s="364"/>
      <c r="Y1292" s="370"/>
      <c r="Z1292" s="119"/>
    </row>
    <row r="1293" spans="1:27" x14ac:dyDescent="0.45">
      <c r="A1293" s="313">
        <v>9</v>
      </c>
      <c r="B1293" s="424" t="s">
        <v>1314</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1315</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2070</v>
      </c>
      <c r="C1296" s="425" t="s">
        <v>1280</v>
      </c>
      <c r="D1296" s="314">
        <v>0</v>
      </c>
      <c r="E1296" s="314"/>
      <c r="F1296" s="314">
        <v>0</v>
      </c>
      <c r="G1296" s="314"/>
      <c r="H1296" s="314">
        <v>0</v>
      </c>
      <c r="I1296" s="314"/>
      <c r="J1296" s="314">
        <v>0</v>
      </c>
      <c r="K1296" s="314">
        <v>0</v>
      </c>
      <c r="L1296" s="314">
        <v>0</v>
      </c>
      <c r="M1296" s="314"/>
      <c r="N1296" s="314"/>
      <c r="O1296" s="314">
        <v>0</v>
      </c>
      <c r="P1296" s="314"/>
      <c r="Q1296" s="314" t="s">
        <v>2071</v>
      </c>
      <c r="R1296" s="314"/>
      <c r="S1296" s="314"/>
      <c r="T1296" s="314"/>
      <c r="U1296" s="320"/>
      <c r="W1296" s="320"/>
    </row>
    <row r="1297" spans="1:28" x14ac:dyDescent="0.45">
      <c r="A1297" s="313">
        <v>11</v>
      </c>
      <c r="B1297" s="427" t="s">
        <v>2214</v>
      </c>
      <c r="C1297" s="425" t="s">
        <v>1429</v>
      </c>
      <c r="D1297" s="314">
        <v>0</v>
      </c>
      <c r="E1297" s="314"/>
      <c r="F1297" s="314">
        <v>0</v>
      </c>
      <c r="G1297" s="314"/>
      <c r="H1297" s="314">
        <v>0</v>
      </c>
      <c r="I1297" s="314"/>
      <c r="J1297" s="314">
        <v>0</v>
      </c>
      <c r="K1297" s="314">
        <v>0</v>
      </c>
      <c r="L1297" s="314">
        <v>0</v>
      </c>
      <c r="M1297" s="314"/>
      <c r="N1297" s="314"/>
      <c r="O1297" s="314">
        <v>0</v>
      </c>
      <c r="P1297" s="314"/>
      <c r="Q1297" s="314" t="s">
        <v>2244</v>
      </c>
      <c r="R1297" s="314"/>
      <c r="S1297" s="314">
        <v>367425</v>
      </c>
      <c r="T1297" s="314">
        <v>0.26</v>
      </c>
      <c r="U1297" s="320"/>
      <c r="V1297" s="355"/>
      <c r="W1297" s="320"/>
      <c r="Y1297" s="320"/>
    </row>
    <row r="1298" spans="1:28" x14ac:dyDescent="0.45">
      <c r="A1298" s="313">
        <v>12</v>
      </c>
      <c r="B1298" s="424" t="s">
        <v>2072</v>
      </c>
      <c r="C1298" s="425" t="s">
        <v>1272</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2073</v>
      </c>
      <c r="C1299" s="425" t="s">
        <v>1278</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1316</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2156</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2074</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2215</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2324</v>
      </c>
      <c r="R1304" s="314"/>
      <c r="S1304" s="314"/>
      <c r="T1304" s="314"/>
      <c r="V1304" s="320"/>
      <c r="W1304" s="347"/>
      <c r="X1304" s="347"/>
      <c r="Y1304" s="347"/>
      <c r="Z1304" s="347"/>
      <c r="AB1304" s="346"/>
    </row>
    <row r="1305" spans="1:28" x14ac:dyDescent="0.45">
      <c r="A1305" s="313">
        <v>17</v>
      </c>
      <c r="B1305" s="424" t="s">
        <v>1317</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2245</v>
      </c>
      <c r="R1305" s="314"/>
      <c r="S1305" s="314"/>
      <c r="T1305" s="314"/>
      <c r="U1305" s="53" t="s">
        <v>1318</v>
      </c>
      <c r="V1305" s="320" t="s">
        <v>2325</v>
      </c>
      <c r="W1305" s="320"/>
      <c r="X1305" s="329"/>
      <c r="AA1305" s="53" t="s">
        <v>2325</v>
      </c>
    </row>
    <row r="1306" spans="1:28" x14ac:dyDescent="0.45">
      <c r="A1306" s="313">
        <v>18</v>
      </c>
      <c r="B1306" s="424" t="s">
        <v>2157</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2158</v>
      </c>
      <c r="C1307" s="423" t="s">
        <v>1276</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2520</v>
      </c>
      <c r="C1308" s="423" t="s">
        <v>2065</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2521</v>
      </c>
      <c r="C1309" s="425" t="s">
        <v>1352</v>
      </c>
      <c r="D1309" s="314">
        <v>-1568547</v>
      </c>
      <c r="E1309" s="314"/>
      <c r="F1309" s="314">
        <v>-1546714</v>
      </c>
      <c r="G1309" s="314"/>
      <c r="H1309" s="314">
        <v>0</v>
      </c>
      <c r="I1309" s="314"/>
      <c r="J1309" s="314">
        <v>-21833</v>
      </c>
      <c r="K1309" s="314">
        <v>-11424</v>
      </c>
      <c r="L1309" s="314">
        <v>-10409</v>
      </c>
      <c r="M1309" s="314"/>
      <c r="N1309" s="314"/>
      <c r="O1309" s="314">
        <v>-1568547</v>
      </c>
      <c r="P1309" s="314"/>
      <c r="Q1309" s="314" t="s">
        <v>2075</v>
      </c>
      <c r="R1309" s="314"/>
      <c r="S1309" s="314"/>
      <c r="T1309" s="314"/>
      <c r="U1309" s="320"/>
      <c r="V1309" s="320"/>
      <c r="W1309" s="320"/>
      <c r="X1309" s="320"/>
      <c r="Y1309" s="320"/>
      <c r="Z1309" s="59"/>
      <c r="AA1309" s="349"/>
    </row>
    <row r="1310" spans="1:28" x14ac:dyDescent="0.45">
      <c r="A1310" s="313">
        <v>22</v>
      </c>
      <c r="B1310" s="424" t="s">
        <v>1319</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2076</v>
      </c>
      <c r="C1311" s="425" t="s">
        <v>1280</v>
      </c>
      <c r="D1311" s="314">
        <v>0</v>
      </c>
      <c r="E1311" s="314"/>
      <c r="F1311" s="314">
        <v>0</v>
      </c>
      <c r="G1311" s="314"/>
      <c r="H1311" s="314">
        <v>0</v>
      </c>
      <c r="I1311" s="314"/>
      <c r="J1311" s="314">
        <v>0</v>
      </c>
      <c r="K1311" s="314">
        <v>0</v>
      </c>
      <c r="L1311" s="314">
        <v>0</v>
      </c>
      <c r="M1311" s="314"/>
      <c r="N1311" s="314"/>
      <c r="O1311" s="314">
        <v>0</v>
      </c>
      <c r="P1311" s="314"/>
      <c r="Q1311" s="314" t="s">
        <v>2077</v>
      </c>
      <c r="R1311" s="314"/>
      <c r="S1311" s="314"/>
      <c r="T1311" s="314"/>
      <c r="U1311" s="320"/>
      <c r="V1311" s="355"/>
      <c r="W1311" s="320"/>
    </row>
    <row r="1312" spans="1:28" x14ac:dyDescent="0.45">
      <c r="A1312" s="45">
        <v>24</v>
      </c>
      <c r="B1312" s="437" t="s">
        <v>1783</v>
      </c>
      <c r="C1312" s="425" t="s">
        <v>34</v>
      </c>
      <c r="D1312" s="314">
        <v>0</v>
      </c>
      <c r="E1312" s="314"/>
      <c r="F1312" s="314">
        <v>0</v>
      </c>
      <c r="G1312" s="314"/>
      <c r="H1312" s="314">
        <v>513790</v>
      </c>
      <c r="I1312" s="314"/>
      <c r="J1312" s="314">
        <v>0</v>
      </c>
      <c r="K1312" s="314">
        <v>0</v>
      </c>
      <c r="L1312" s="314">
        <v>0</v>
      </c>
      <c r="M1312" s="314"/>
      <c r="N1312" s="314"/>
      <c r="O1312" s="314">
        <v>0</v>
      </c>
      <c r="P1312" s="314"/>
      <c r="Q1312" s="314" t="s">
        <v>2159</v>
      </c>
      <c r="R1312" s="314"/>
      <c r="S1312" s="314"/>
      <c r="T1312" s="314"/>
      <c r="W1312" s="320"/>
      <c r="Z1312" s="59"/>
    </row>
    <row r="1313" spans="1:28" x14ac:dyDescent="0.45">
      <c r="A1313" s="313">
        <v>25</v>
      </c>
      <c r="B1313" s="427" t="s">
        <v>2216</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2290</v>
      </c>
      <c r="U1314" s="320" t="s">
        <v>2291</v>
      </c>
      <c r="V1314" s="355"/>
      <c r="W1314" s="320"/>
    </row>
    <row r="1315" spans="1:28" x14ac:dyDescent="0.45">
      <c r="A1315" s="313">
        <v>26</v>
      </c>
      <c r="B1315" s="424" t="s">
        <v>2478</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2522</v>
      </c>
      <c r="T1315" s="314">
        <v>-559577</v>
      </c>
      <c r="U1315" s="53">
        <v>0</v>
      </c>
      <c r="W1315" s="320"/>
      <c r="X1315" s="350"/>
    </row>
    <row r="1316" spans="1:28" x14ac:dyDescent="0.45">
      <c r="A1316" s="313">
        <v>27</v>
      </c>
      <c r="B1316" s="424" t="s">
        <v>2520</v>
      </c>
      <c r="C1316" s="425" t="s">
        <v>2065</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2523</v>
      </c>
      <c r="T1316" s="314">
        <v>-7411506</v>
      </c>
      <c r="U1316" s="491">
        <v>-103526</v>
      </c>
      <c r="W1316" s="320"/>
      <c r="X1316" s="350"/>
    </row>
    <row r="1317" spans="1:28" x14ac:dyDescent="0.45">
      <c r="A1317" s="45">
        <v>28</v>
      </c>
      <c r="B1317" s="427" t="s">
        <v>2524</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2521</v>
      </c>
      <c r="C1318" s="425" t="s">
        <v>1348</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2246</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1320</v>
      </c>
      <c r="V1319" s="320" t="s">
        <v>2325</v>
      </c>
      <c r="W1319" s="320"/>
      <c r="X1319" s="320"/>
      <c r="Y1319" s="320"/>
      <c r="AA1319" s="53" t="s">
        <v>2325</v>
      </c>
    </row>
    <row r="1320" spans="1:28" x14ac:dyDescent="0.45">
      <c r="A1320" s="313">
        <v>31</v>
      </c>
      <c r="B1320" s="424" t="s">
        <v>2160</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1321</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1770</v>
      </c>
      <c r="S1322" s="314"/>
      <c r="T1322" s="314"/>
      <c r="U1322" s="496">
        <v>22878472</v>
      </c>
      <c r="V1322" s="320" t="s">
        <v>2161</v>
      </c>
      <c r="W1322" s="320"/>
      <c r="X1322" s="320"/>
      <c r="Y1322" s="320"/>
      <c r="Z1322" s="320"/>
      <c r="AA1322" s="349" t="s">
        <v>2161</v>
      </c>
      <c r="AB1322" s="318"/>
    </row>
    <row r="1323" spans="1:28" x14ac:dyDescent="0.45">
      <c r="A1323" s="313">
        <v>33</v>
      </c>
      <c r="B1323" s="424" t="s">
        <v>1053</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2525</v>
      </c>
      <c r="W1323" s="320"/>
      <c r="AA1323" s="53" t="s">
        <v>2525</v>
      </c>
    </row>
    <row r="1324" spans="1:28" x14ac:dyDescent="0.45">
      <c r="A1324" s="313">
        <v>34</v>
      </c>
      <c r="B1324" s="424" t="s">
        <v>1054</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2565</v>
      </c>
      <c r="T1324" s="314"/>
      <c r="U1324" s="491">
        <v>33300474</v>
      </c>
      <c r="V1324" s="53" t="s">
        <v>2162</v>
      </c>
      <c r="W1324" s="351"/>
      <c r="Z1324" s="116"/>
      <c r="AA1324" s="116" t="s">
        <v>2162</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1322</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1323</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1324</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1325</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1326</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823</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824</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825</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826</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827</v>
      </c>
      <c r="C1341" s="425" t="s">
        <v>1378</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1784</v>
      </c>
      <c r="U1341" s="320"/>
      <c r="V1341" s="320"/>
      <c r="W1341" s="320"/>
      <c r="X1341" s="320"/>
      <c r="Y1341" s="320"/>
    </row>
    <row r="1342" spans="1:25" x14ac:dyDescent="0.45">
      <c r="A1342" s="313">
        <v>2</v>
      </c>
      <c r="B1342" s="427" t="s">
        <v>828</v>
      </c>
      <c r="C1342" s="425" t="s">
        <v>1378</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1784</v>
      </c>
      <c r="U1342" s="320"/>
      <c r="V1342" s="320"/>
      <c r="W1342" s="320"/>
      <c r="X1342" s="320"/>
      <c r="Y1342" s="320"/>
    </row>
    <row r="1343" spans="1:25" x14ac:dyDescent="0.45">
      <c r="A1343" s="313">
        <v>3</v>
      </c>
      <c r="B1343" s="427" t="s">
        <v>829</v>
      </c>
      <c r="C1343" s="425" t="s">
        <v>1378</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1784</v>
      </c>
      <c r="U1343" s="320"/>
      <c r="W1343" s="320"/>
      <c r="X1343" s="320"/>
      <c r="Y1343" s="320"/>
    </row>
    <row r="1344" spans="1:25" x14ac:dyDescent="0.45">
      <c r="A1344" s="313">
        <v>4</v>
      </c>
      <c r="B1344" s="427" t="s">
        <v>830</v>
      </c>
      <c r="C1344" s="425" t="s">
        <v>1378</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1784</v>
      </c>
      <c r="U1344" s="320"/>
      <c r="W1344" s="320"/>
      <c r="X1344" s="320"/>
      <c r="Y1344" s="320"/>
    </row>
    <row r="1345" spans="1:25" x14ac:dyDescent="0.45">
      <c r="A1345" s="313">
        <v>5</v>
      </c>
      <c r="B1345" s="427" t="s">
        <v>831</v>
      </c>
      <c r="C1345" s="425" t="s">
        <v>1378</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1784</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832</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833</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834</v>
      </c>
      <c r="C1350" s="425" t="s">
        <v>913</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1784</v>
      </c>
      <c r="U1350" s="320"/>
      <c r="W1350" s="320"/>
      <c r="X1350" s="320"/>
      <c r="Y1350" s="320"/>
    </row>
    <row r="1351" spans="1:25" x14ac:dyDescent="0.45">
      <c r="A1351" s="313">
        <v>8</v>
      </c>
      <c r="B1351" s="427" t="s">
        <v>835</v>
      </c>
      <c r="C1351" s="425" t="s">
        <v>913</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1784</v>
      </c>
      <c r="U1351" s="320"/>
      <c r="W1351" s="320"/>
      <c r="X1351" s="320"/>
      <c r="Y1351" s="320"/>
    </row>
    <row r="1352" spans="1:25" x14ac:dyDescent="0.45">
      <c r="A1352" s="313">
        <v>9</v>
      </c>
      <c r="B1352" s="427" t="s">
        <v>836</v>
      </c>
      <c r="C1352" s="425" t="s">
        <v>913</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1784</v>
      </c>
      <c r="U1352" s="320"/>
      <c r="W1352" s="320"/>
      <c r="X1352" s="320"/>
      <c r="Y1352" s="320"/>
    </row>
    <row r="1353" spans="1:25" x14ac:dyDescent="0.45">
      <c r="A1353" s="313">
        <v>10</v>
      </c>
      <c r="B1353" s="427" t="s">
        <v>837</v>
      </c>
      <c r="C1353" s="425" t="s">
        <v>913</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1784</v>
      </c>
      <c r="U1353" s="320"/>
      <c r="W1353" s="320"/>
      <c r="X1353" s="320"/>
      <c r="Y1353" s="320"/>
    </row>
    <row r="1354" spans="1:25" x14ac:dyDescent="0.45">
      <c r="A1354" s="313">
        <v>11</v>
      </c>
      <c r="B1354" s="427" t="s">
        <v>838</v>
      </c>
      <c r="C1354" s="425" t="s">
        <v>913</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1784</v>
      </c>
      <c r="U1354" s="320"/>
      <c r="W1354" s="320"/>
      <c r="X1354" s="320"/>
      <c r="Y1354" s="320"/>
    </row>
    <row r="1355" spans="1:25" x14ac:dyDescent="0.45">
      <c r="A1355" s="313">
        <v>12</v>
      </c>
      <c r="B1355" s="427" t="s">
        <v>839</v>
      </c>
      <c r="C1355" s="425" t="s">
        <v>913</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1784</v>
      </c>
      <c r="U1355" s="320"/>
      <c r="W1355" s="320"/>
      <c r="X1355" s="320"/>
      <c r="Y1355" s="320"/>
    </row>
    <row r="1356" spans="1:25" x14ac:dyDescent="0.45">
      <c r="A1356" s="313">
        <v>13</v>
      </c>
      <c r="B1356" s="427" t="s">
        <v>840</v>
      </c>
      <c r="C1356" s="425" t="s">
        <v>913</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1784</v>
      </c>
      <c r="U1356" s="320"/>
      <c r="W1356" s="320"/>
      <c r="X1356" s="320"/>
      <c r="Y1356" s="320"/>
    </row>
    <row r="1357" spans="1:25" x14ac:dyDescent="0.45">
      <c r="A1357" s="313">
        <v>14</v>
      </c>
      <c r="B1357" s="427" t="s">
        <v>1194</v>
      </c>
      <c r="C1357" s="425" t="s">
        <v>913</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1784</v>
      </c>
      <c r="U1357" s="320"/>
      <c r="W1357" s="320"/>
      <c r="X1357" s="320"/>
      <c r="Y1357" s="320"/>
    </row>
    <row r="1358" spans="1:25" x14ac:dyDescent="0.45">
      <c r="A1358" s="313">
        <v>15</v>
      </c>
      <c r="B1358" s="427" t="s">
        <v>1195</v>
      </c>
      <c r="C1358" s="425" t="s">
        <v>913</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1784</v>
      </c>
      <c r="U1358" s="320"/>
      <c r="W1358" s="320"/>
      <c r="X1358" s="320"/>
      <c r="Y1358" s="320"/>
    </row>
    <row r="1359" spans="1:25" x14ac:dyDescent="0.45">
      <c r="A1359" s="313">
        <v>16</v>
      </c>
      <c r="B1359" s="427" t="s">
        <v>1196</v>
      </c>
      <c r="C1359" s="425" t="s">
        <v>913</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1784</v>
      </c>
      <c r="U1359" s="320"/>
      <c r="W1359" s="320"/>
      <c r="X1359" s="320"/>
      <c r="Y1359" s="320"/>
    </row>
    <row r="1360" spans="1:25" x14ac:dyDescent="0.45">
      <c r="A1360" s="313">
        <v>17</v>
      </c>
      <c r="B1360" s="427" t="s">
        <v>1197</v>
      </c>
      <c r="C1360" s="425" t="s">
        <v>913</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1784</v>
      </c>
      <c r="U1360" s="320"/>
      <c r="W1360" s="320"/>
      <c r="X1360" s="320"/>
      <c r="Y1360" s="320"/>
    </row>
    <row r="1361" spans="1:25" x14ac:dyDescent="0.45">
      <c r="A1361" s="313">
        <v>18</v>
      </c>
      <c r="B1361" s="427" t="s">
        <v>1198</v>
      </c>
      <c r="C1361" s="425" t="s">
        <v>913</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1784</v>
      </c>
      <c r="U1361" s="320"/>
      <c r="W1361" s="320"/>
      <c r="X1361" s="320"/>
      <c r="Y1361" s="320"/>
    </row>
    <row r="1362" spans="1:25" x14ac:dyDescent="0.45">
      <c r="A1362" s="313">
        <v>19</v>
      </c>
      <c r="B1362" s="427" t="s">
        <v>2217</v>
      </c>
      <c r="C1362" s="425" t="s">
        <v>913</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1784</v>
      </c>
      <c r="U1362" s="320"/>
      <c r="W1362" s="320"/>
      <c r="X1362" s="320"/>
      <c r="Y1362" s="320"/>
    </row>
    <row r="1363" spans="1:25" x14ac:dyDescent="0.45">
      <c r="A1363" s="313">
        <v>20</v>
      </c>
      <c r="B1363" s="427" t="s">
        <v>1199</v>
      </c>
      <c r="C1363" s="425" t="s">
        <v>913</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1784</v>
      </c>
      <c r="U1363" s="320"/>
      <c r="W1363" s="320"/>
      <c r="X1363" s="320"/>
      <c r="Y1363" s="320"/>
    </row>
    <row r="1364" spans="1:25" x14ac:dyDescent="0.45">
      <c r="A1364" s="313">
        <v>21</v>
      </c>
      <c r="B1364" s="427" t="s">
        <v>1200</v>
      </c>
      <c r="C1364" s="425" t="s">
        <v>913</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1784</v>
      </c>
      <c r="U1364" s="320"/>
      <c r="W1364" s="320"/>
      <c r="X1364" s="320"/>
      <c r="Y1364" s="320"/>
    </row>
    <row r="1365" spans="1:25" x14ac:dyDescent="0.45">
      <c r="A1365" s="313">
        <v>22</v>
      </c>
      <c r="B1365" s="427" t="s">
        <v>1201</v>
      </c>
      <c r="C1365" s="425" t="s">
        <v>913</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1784</v>
      </c>
      <c r="U1365" s="320"/>
      <c r="W1365" s="320"/>
      <c r="X1365" s="320"/>
      <c r="Y1365" s="320"/>
    </row>
    <row r="1366" spans="1:25" x14ac:dyDescent="0.45">
      <c r="A1366" s="313">
        <v>23</v>
      </c>
      <c r="B1366" s="427" t="s">
        <v>1202</v>
      </c>
      <c r="C1366" s="425" t="s">
        <v>913</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1784</v>
      </c>
      <c r="U1366" s="320"/>
      <c r="W1366" s="320"/>
      <c r="X1366" s="320"/>
      <c r="Y1366" s="320"/>
    </row>
    <row r="1367" spans="1:25" x14ac:dyDescent="0.45">
      <c r="A1367" s="313">
        <v>24</v>
      </c>
      <c r="B1367" s="427" t="s">
        <v>1203</v>
      </c>
      <c r="C1367" s="425" t="s">
        <v>913</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1784</v>
      </c>
      <c r="U1367" s="320"/>
      <c r="W1367" s="320"/>
      <c r="X1367" s="320"/>
      <c r="Y1367" s="320"/>
    </row>
    <row r="1368" spans="1:25" x14ac:dyDescent="0.45">
      <c r="A1368" s="313">
        <v>25</v>
      </c>
      <c r="B1368" s="427" t="s">
        <v>1204</v>
      </c>
      <c r="C1368" s="425" t="s">
        <v>913</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1784</v>
      </c>
      <c r="U1368" s="320"/>
      <c r="W1368" s="320"/>
      <c r="X1368" s="320"/>
      <c r="Y1368" s="320"/>
    </row>
    <row r="1369" spans="1:25" x14ac:dyDescent="0.45">
      <c r="A1369" s="313">
        <v>26</v>
      </c>
      <c r="B1369" s="427" t="s">
        <v>1205</v>
      </c>
      <c r="C1369" s="425" t="s">
        <v>913</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1784</v>
      </c>
      <c r="U1369" s="320"/>
      <c r="W1369" s="320"/>
      <c r="X1369" s="320"/>
      <c r="Y1369" s="320"/>
    </row>
    <row r="1370" spans="1:25" x14ac:dyDescent="0.45">
      <c r="A1370" s="313">
        <v>27</v>
      </c>
      <c r="B1370" s="427" t="s">
        <v>1206</v>
      </c>
      <c r="C1370" s="425" t="s">
        <v>913</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1784</v>
      </c>
      <c r="U1370" s="320"/>
      <c r="W1370" s="320"/>
      <c r="X1370" s="320"/>
      <c r="Y1370" s="320"/>
    </row>
    <row r="1371" spans="1:25" x14ac:dyDescent="0.45">
      <c r="A1371" s="313">
        <v>28</v>
      </c>
      <c r="B1371" s="427" t="s">
        <v>1207</v>
      </c>
      <c r="C1371" s="425" t="s">
        <v>913</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1784</v>
      </c>
      <c r="U1371" s="320"/>
      <c r="W1371" s="320"/>
      <c r="X1371" s="320"/>
      <c r="Y1371" s="320"/>
    </row>
    <row r="1372" spans="1:25" x14ac:dyDescent="0.45">
      <c r="A1372" s="313">
        <v>29</v>
      </c>
      <c r="B1372" s="427" t="s">
        <v>1208</v>
      </c>
      <c r="C1372" s="425" t="s">
        <v>913</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1784</v>
      </c>
      <c r="U1372" s="320"/>
      <c r="W1372" s="320"/>
      <c r="X1372" s="320"/>
      <c r="Y1372" s="320"/>
    </row>
    <row r="1373" spans="1:25" x14ac:dyDescent="0.45">
      <c r="A1373" s="313">
        <v>30</v>
      </c>
      <c r="B1373" s="427" t="s">
        <v>1209</v>
      </c>
      <c r="C1373" s="425" t="s">
        <v>913</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1784</v>
      </c>
      <c r="U1373" s="320"/>
      <c r="W1373" s="320"/>
      <c r="X1373" s="320"/>
      <c r="Y1373" s="320"/>
    </row>
    <row r="1374" spans="1:25" x14ac:dyDescent="0.45">
      <c r="A1374" s="313">
        <v>31</v>
      </c>
      <c r="B1374" s="427" t="s">
        <v>1210</v>
      </c>
      <c r="C1374" s="425" t="s">
        <v>913</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1784</v>
      </c>
      <c r="U1374" s="320"/>
      <c r="W1374" s="320"/>
      <c r="X1374" s="320"/>
      <c r="Y1374" s="320"/>
    </row>
    <row r="1375" spans="1:25" x14ac:dyDescent="0.45">
      <c r="A1375" s="313">
        <v>32</v>
      </c>
      <c r="B1375" s="427" t="s">
        <v>1211</v>
      </c>
      <c r="C1375" s="425" t="s">
        <v>913</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1784</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1212</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1213</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1214</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1215</v>
      </c>
      <c r="C1385" s="425" t="s">
        <v>2135</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1784</v>
      </c>
      <c r="U1385" s="320"/>
      <c r="W1385" s="320"/>
      <c r="X1385" s="320"/>
      <c r="Y1385" s="320"/>
    </row>
    <row r="1386" spans="1:25" x14ac:dyDescent="0.45">
      <c r="A1386" s="313">
        <v>2</v>
      </c>
      <c r="B1386" s="424" t="s">
        <v>1216</v>
      </c>
      <c r="C1386" s="425" t="s">
        <v>2135</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1784</v>
      </c>
      <c r="U1386" s="320"/>
      <c r="W1386" s="320"/>
      <c r="X1386" s="320"/>
      <c r="Y1386" s="320"/>
    </row>
    <row r="1387" spans="1:25" x14ac:dyDescent="0.45">
      <c r="A1387" s="313">
        <v>3</v>
      </c>
      <c r="B1387" s="424" t="s">
        <v>1217</v>
      </c>
      <c r="C1387" s="425" t="s">
        <v>2135</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1784</v>
      </c>
      <c r="U1387" s="320"/>
      <c r="W1387" s="320"/>
      <c r="X1387" s="320"/>
      <c r="Y1387" s="320"/>
    </row>
    <row r="1388" spans="1:25" x14ac:dyDescent="0.45">
      <c r="A1388" s="313">
        <v>4</v>
      </c>
      <c r="B1388" s="424" t="s">
        <v>1218</v>
      </c>
      <c r="C1388" s="425" t="s">
        <v>2135</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1784</v>
      </c>
      <c r="U1388" s="320"/>
      <c r="W1388" s="320"/>
      <c r="X1388" s="320"/>
      <c r="Y1388" s="320"/>
    </row>
    <row r="1389" spans="1:25" x14ac:dyDescent="0.45">
      <c r="A1389" s="313">
        <v>5</v>
      </c>
      <c r="B1389" s="424" t="s">
        <v>1219</v>
      </c>
      <c r="C1389" s="425" t="s">
        <v>2135</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1784</v>
      </c>
      <c r="U1389" s="320"/>
      <c r="W1389" s="320"/>
      <c r="X1389" s="320"/>
      <c r="Y1389" s="320"/>
    </row>
    <row r="1390" spans="1:25" x14ac:dyDescent="0.45">
      <c r="A1390" s="313">
        <v>6</v>
      </c>
      <c r="B1390" s="424" t="s">
        <v>1220</v>
      </c>
      <c r="C1390" s="425" t="s">
        <v>2135</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1784</v>
      </c>
      <c r="U1390" s="320"/>
      <c r="W1390" s="320"/>
      <c r="X1390" s="320"/>
      <c r="Y1390" s="320"/>
    </row>
    <row r="1391" spans="1:25" x14ac:dyDescent="0.45">
      <c r="A1391" s="313">
        <v>7</v>
      </c>
      <c r="B1391" s="424" t="s">
        <v>1221</v>
      </c>
      <c r="C1391" s="425" t="s">
        <v>2135</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1784</v>
      </c>
      <c r="U1391" s="320"/>
      <c r="W1391" s="320"/>
      <c r="X1391" s="320"/>
      <c r="Y1391" s="320"/>
    </row>
    <row r="1392" spans="1:25" x14ac:dyDescent="0.45">
      <c r="A1392" s="45">
        <v>8</v>
      </c>
      <c r="B1392" s="45" t="s">
        <v>1222</v>
      </c>
      <c r="C1392" s="425" t="s">
        <v>2135</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1784</v>
      </c>
      <c r="U1392" s="320"/>
      <c r="W1392" s="320"/>
      <c r="X1392" s="320"/>
      <c r="Y1392" s="320"/>
    </row>
    <row r="1393" spans="1:25" x14ac:dyDescent="0.45">
      <c r="A1393" s="45">
        <v>9</v>
      </c>
      <c r="B1393" s="45" t="s">
        <v>1223</v>
      </c>
      <c r="C1393" s="425" t="s">
        <v>2135</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1784</v>
      </c>
      <c r="W1393" s="320"/>
      <c r="X1393" s="320"/>
      <c r="Y1393" s="320"/>
    </row>
    <row r="1394" spans="1:25" x14ac:dyDescent="0.45">
      <c r="A1394" s="45">
        <v>10</v>
      </c>
      <c r="B1394" s="45" t="s">
        <v>1224</v>
      </c>
      <c r="C1394" s="425" t="s">
        <v>2135</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1784</v>
      </c>
      <c r="W1394" s="320"/>
      <c r="X1394" s="320"/>
      <c r="Y1394" s="320"/>
    </row>
    <row r="1395" spans="1:25" x14ac:dyDescent="0.45">
      <c r="A1395" s="45">
        <v>11</v>
      </c>
      <c r="B1395" s="45" t="s">
        <v>1225</v>
      </c>
      <c r="C1395" s="425" t="s">
        <v>2135</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1784</v>
      </c>
      <c r="U1395" s="320"/>
      <c r="W1395" s="320"/>
      <c r="X1395" s="320"/>
      <c r="Y1395" s="320"/>
    </row>
    <row r="1396" spans="1:25" x14ac:dyDescent="0.45">
      <c r="A1396" s="45">
        <v>12</v>
      </c>
      <c r="B1396" s="45" t="s">
        <v>1226</v>
      </c>
      <c r="C1396" s="425" t="s">
        <v>2135</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1784</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1227</v>
      </c>
      <c r="C1398" s="425" t="s">
        <v>2135</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2479</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1228</v>
      </c>
      <c r="C1401" s="312" t="s">
        <v>1443</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1784</v>
      </c>
      <c r="U1401" s="320"/>
      <c r="W1401" s="320"/>
      <c r="X1401" s="320"/>
      <c r="Y1401" s="320"/>
    </row>
    <row r="1402" spans="1:25" x14ac:dyDescent="0.45">
      <c r="A1402" s="45">
        <v>2</v>
      </c>
      <c r="B1402" s="433" t="s">
        <v>1229</v>
      </c>
      <c r="C1402" s="312" t="s">
        <v>1443</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1784</v>
      </c>
      <c r="U1402" s="320"/>
      <c r="W1402" s="320"/>
      <c r="X1402" s="320"/>
      <c r="Y1402" s="320"/>
    </row>
    <row r="1403" spans="1:25" x14ac:dyDescent="0.45">
      <c r="A1403" s="45">
        <v>3</v>
      </c>
      <c r="B1403" s="45" t="s">
        <v>1230</v>
      </c>
      <c r="C1403" s="312" t="s">
        <v>1443</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1784</v>
      </c>
      <c r="U1403" s="320"/>
      <c r="W1403" s="320"/>
      <c r="X1403" s="320"/>
      <c r="Y1403" s="320"/>
    </row>
    <row r="1404" spans="1:25" x14ac:dyDescent="0.45">
      <c r="A1404" s="45">
        <v>4</v>
      </c>
      <c r="B1404" s="45" t="s">
        <v>1231</v>
      </c>
      <c r="C1404" s="312" t="s">
        <v>1443</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1784</v>
      </c>
      <c r="U1404" s="320"/>
      <c r="W1404" s="320"/>
      <c r="X1404" s="320"/>
      <c r="Y1404" s="320"/>
    </row>
    <row r="1405" spans="1:25" x14ac:dyDescent="0.45">
      <c r="A1405" s="45">
        <v>5</v>
      </c>
      <c r="B1405" s="45" t="s">
        <v>1232</v>
      </c>
      <c r="C1405" s="312" t="s">
        <v>1443</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1784</v>
      </c>
      <c r="U1405" s="320"/>
      <c r="W1405" s="320"/>
      <c r="X1405" s="320"/>
      <c r="Y1405" s="320"/>
    </row>
    <row r="1406" spans="1:25" x14ac:dyDescent="0.45">
      <c r="A1406" s="45">
        <v>6</v>
      </c>
      <c r="B1406" s="45" t="s">
        <v>1233</v>
      </c>
      <c r="C1406" s="312" t="s">
        <v>1443</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1784</v>
      </c>
      <c r="U1406" s="320"/>
      <c r="W1406" s="320"/>
      <c r="X1406" s="320"/>
      <c r="Y1406" s="320"/>
    </row>
    <row r="1407" spans="1:25" x14ac:dyDescent="0.45">
      <c r="A1407" s="45">
        <v>7</v>
      </c>
      <c r="B1407" s="45" t="s">
        <v>1234</v>
      </c>
      <c r="C1407" s="312" t="s">
        <v>1443</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1784</v>
      </c>
      <c r="U1407" s="320"/>
      <c r="W1407" s="320"/>
      <c r="X1407" s="320"/>
      <c r="Y1407" s="320"/>
    </row>
    <row r="1408" spans="1:25" x14ac:dyDescent="0.45">
      <c r="A1408" s="45">
        <v>8</v>
      </c>
      <c r="B1408" s="45" t="s">
        <v>1235</v>
      </c>
      <c r="C1408" s="312" t="s">
        <v>1443</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1784</v>
      </c>
      <c r="U1408" s="320"/>
      <c r="W1408" s="320"/>
      <c r="X1408" s="320"/>
      <c r="Y1408" s="320"/>
    </row>
    <row r="1409" spans="1:25" x14ac:dyDescent="0.45">
      <c r="A1409" s="45">
        <v>9</v>
      </c>
      <c r="B1409" s="45" t="s">
        <v>1236</v>
      </c>
      <c r="C1409" s="312" t="s">
        <v>1443</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1784</v>
      </c>
      <c r="U1409" s="320"/>
      <c r="W1409" s="320"/>
      <c r="X1409" s="320"/>
      <c r="Y1409" s="320"/>
    </row>
    <row r="1410" spans="1:25" x14ac:dyDescent="0.45">
      <c r="A1410" s="45">
        <v>10</v>
      </c>
      <c r="B1410" s="45" t="s">
        <v>1237</v>
      </c>
      <c r="C1410" s="312" t="s">
        <v>1443</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1784</v>
      </c>
      <c r="U1410" s="320"/>
      <c r="W1410" s="320"/>
      <c r="X1410" s="320"/>
      <c r="Y1410" s="320"/>
    </row>
    <row r="1411" spans="1:25" x14ac:dyDescent="0.45">
      <c r="A1411" s="45">
        <v>11</v>
      </c>
      <c r="B1411" s="45" t="s">
        <v>1238</v>
      </c>
      <c r="C1411" s="312" t="s">
        <v>1443</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1784</v>
      </c>
      <c r="U1411" s="320"/>
      <c r="W1411" s="320"/>
      <c r="X1411" s="320"/>
      <c r="Y1411" s="320"/>
    </row>
    <row r="1412" spans="1:25" x14ac:dyDescent="0.45">
      <c r="A1412" s="45">
        <v>12</v>
      </c>
      <c r="B1412" s="433" t="s">
        <v>1468</v>
      </c>
      <c r="C1412" s="312" t="s">
        <v>1443</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1784</v>
      </c>
      <c r="U1412" s="320"/>
      <c r="W1412" s="320"/>
      <c r="X1412" s="320"/>
      <c r="Y1412" s="320"/>
    </row>
    <row r="1413" spans="1:25" x14ac:dyDescent="0.45">
      <c r="A1413" s="45">
        <v>13</v>
      </c>
      <c r="B1413" s="45" t="s">
        <v>1239</v>
      </c>
      <c r="C1413" s="312" t="s">
        <v>1443</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1784</v>
      </c>
      <c r="U1413" s="320"/>
      <c r="W1413" s="320"/>
      <c r="X1413" s="320"/>
      <c r="Y1413" s="320"/>
    </row>
    <row r="1414" spans="1:25" x14ac:dyDescent="0.45">
      <c r="A1414" s="45">
        <v>14</v>
      </c>
      <c r="B1414" s="45" t="s">
        <v>1240</v>
      </c>
      <c r="C1414" s="312" t="s">
        <v>1443</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1784</v>
      </c>
      <c r="U1414" s="320"/>
      <c r="W1414" s="320"/>
      <c r="X1414" s="320"/>
      <c r="Y1414" s="320"/>
    </row>
    <row r="1415" spans="1:25" x14ac:dyDescent="0.45">
      <c r="A1415" s="45">
        <v>15</v>
      </c>
      <c r="B1415" s="45" t="s">
        <v>1241</v>
      </c>
      <c r="C1415" s="312" t="s">
        <v>1443</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1784</v>
      </c>
      <c r="U1415" s="320"/>
      <c r="W1415" s="320"/>
      <c r="X1415" s="320"/>
      <c r="Y1415" s="320"/>
    </row>
    <row r="1416" spans="1:25" x14ac:dyDescent="0.45">
      <c r="A1416" s="45">
        <v>16</v>
      </c>
      <c r="B1416" s="45" t="s">
        <v>1242</v>
      </c>
      <c r="C1416" s="312" t="s">
        <v>1443</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1784</v>
      </c>
      <c r="U1416" s="320"/>
      <c r="W1416" s="320"/>
      <c r="X1416" s="320"/>
      <c r="Y1416" s="320"/>
    </row>
    <row r="1417" spans="1:25" x14ac:dyDescent="0.45">
      <c r="A1417" s="45">
        <v>17</v>
      </c>
      <c r="B1417" s="45" t="s">
        <v>1243</v>
      </c>
      <c r="C1417" s="312" t="s">
        <v>1443</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1784</v>
      </c>
      <c r="U1417" s="320"/>
      <c r="W1417" s="320"/>
      <c r="X1417" s="320"/>
      <c r="Y1417" s="320"/>
    </row>
    <row r="1418" spans="1:25" x14ac:dyDescent="0.45">
      <c r="A1418" s="45">
        <v>18</v>
      </c>
      <c r="B1418" s="45" t="s">
        <v>1244</v>
      </c>
      <c r="C1418" s="312" t="s">
        <v>1443</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1784</v>
      </c>
      <c r="U1418" s="320"/>
      <c r="W1418" s="320"/>
      <c r="X1418" s="320"/>
      <c r="Y1418" s="320"/>
    </row>
    <row r="1419" spans="1:25" x14ac:dyDescent="0.45">
      <c r="A1419" s="45">
        <v>19</v>
      </c>
      <c r="B1419" s="45" t="s">
        <v>881</v>
      </c>
      <c r="C1419" s="312" t="s">
        <v>1443</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1784</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882</v>
      </c>
      <c r="C1421" s="425" t="s">
        <v>1443</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883</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884</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885</v>
      </c>
      <c r="C1429" s="428" t="s">
        <v>1940</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1784</v>
      </c>
      <c r="W1429" s="320"/>
    </row>
    <row r="1430" spans="1:25" x14ac:dyDescent="0.45">
      <c r="A1430" s="45">
        <v>2</v>
      </c>
      <c r="B1430" s="424" t="s">
        <v>886</v>
      </c>
      <c r="C1430" s="428" t="s">
        <v>1940</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1784</v>
      </c>
      <c r="W1430" s="320"/>
      <c r="X1430" s="320"/>
      <c r="Y1430" s="320"/>
    </row>
    <row r="1431" spans="1:25" x14ac:dyDescent="0.45">
      <c r="A1431" s="313">
        <v>3</v>
      </c>
      <c r="B1431" s="45" t="s">
        <v>887</v>
      </c>
      <c r="C1431" s="428" t="s">
        <v>1940</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1784</v>
      </c>
      <c r="U1431" s="320"/>
      <c r="W1431" s="320"/>
      <c r="X1431" s="320"/>
      <c r="Y1431" s="320"/>
    </row>
    <row r="1432" spans="1:25" x14ac:dyDescent="0.45">
      <c r="A1432" s="45">
        <v>4</v>
      </c>
      <c r="B1432" s="424" t="s">
        <v>888</v>
      </c>
      <c r="C1432" s="428" t="s">
        <v>1940</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1784</v>
      </c>
      <c r="W1432" s="320"/>
      <c r="X1432" s="320"/>
      <c r="Y1432" s="320"/>
    </row>
    <row r="1433" spans="1:25" x14ac:dyDescent="0.45">
      <c r="A1433" s="313">
        <v>5</v>
      </c>
      <c r="B1433" s="45" t="s">
        <v>889</v>
      </c>
      <c r="C1433" s="428" t="s">
        <v>1940</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1784</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890</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891</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892</v>
      </c>
      <c r="C1438" s="428" t="s">
        <v>1941</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1784</v>
      </c>
      <c r="W1438" s="320"/>
    </row>
    <row r="1439" spans="1:25" x14ac:dyDescent="0.45">
      <c r="A1439" s="45">
        <v>8</v>
      </c>
      <c r="B1439" s="424" t="s">
        <v>893</v>
      </c>
      <c r="C1439" s="428" t="s">
        <v>1941</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1784</v>
      </c>
      <c r="W1439" s="320"/>
      <c r="X1439" s="320"/>
      <c r="Y1439" s="320"/>
    </row>
    <row r="1440" spans="1:25" x14ac:dyDescent="0.45">
      <c r="A1440" s="45">
        <v>9</v>
      </c>
      <c r="B1440" s="45" t="s">
        <v>894</v>
      </c>
      <c r="C1440" s="428" t="s">
        <v>1941</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1784</v>
      </c>
      <c r="W1440" s="320"/>
      <c r="X1440" s="320"/>
      <c r="Y1440" s="320"/>
    </row>
    <row r="1441" spans="1:25" x14ac:dyDescent="0.45">
      <c r="A1441" s="45">
        <v>10</v>
      </c>
      <c r="B1441" s="424" t="s">
        <v>895</v>
      </c>
      <c r="C1441" s="428" t="s">
        <v>1941</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1784</v>
      </c>
      <c r="W1441" s="320"/>
      <c r="X1441" s="320"/>
      <c r="Y1441" s="320"/>
    </row>
    <row r="1442" spans="1:25" x14ac:dyDescent="0.45">
      <c r="A1442" s="45">
        <v>11</v>
      </c>
      <c r="B1442" s="45" t="s">
        <v>1039</v>
      </c>
      <c r="C1442" s="428" t="s">
        <v>1941</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1784</v>
      </c>
      <c r="W1442" s="320"/>
      <c r="X1442" s="320"/>
      <c r="Y1442" s="320"/>
    </row>
    <row r="1443" spans="1:25" x14ac:dyDescent="0.45">
      <c r="A1443" s="45">
        <v>12</v>
      </c>
      <c r="B1443" s="424" t="s">
        <v>1040</v>
      </c>
      <c r="C1443" s="428" t="s">
        <v>1941</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1784</v>
      </c>
      <c r="W1443" s="320"/>
      <c r="X1443" s="320"/>
      <c r="Y1443" s="320"/>
    </row>
    <row r="1444" spans="1:25" x14ac:dyDescent="0.45">
      <c r="A1444" s="45">
        <v>13</v>
      </c>
      <c r="B1444" s="45" t="s">
        <v>1041</v>
      </c>
      <c r="C1444" s="428" t="s">
        <v>1941</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1784</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1327</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1328</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1329</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1330</v>
      </c>
      <c r="C1451" s="428" t="s">
        <v>1431</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1784</v>
      </c>
      <c r="W1451" s="320"/>
    </row>
    <row r="1452" spans="1:25" x14ac:dyDescent="0.45">
      <c r="A1452" s="45">
        <v>17</v>
      </c>
      <c r="B1452" s="45" t="s">
        <v>1331</v>
      </c>
      <c r="C1452" s="428" t="s">
        <v>1431</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1784</v>
      </c>
      <c r="W1452" s="320"/>
      <c r="X1452" s="320"/>
      <c r="Y1452" s="320"/>
    </row>
    <row r="1453" spans="1:25" x14ac:dyDescent="0.45">
      <c r="A1453" s="45">
        <v>18</v>
      </c>
      <c r="B1453" s="45" t="s">
        <v>1332</v>
      </c>
      <c r="C1453" s="428" t="s">
        <v>1431</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1784</v>
      </c>
      <c r="W1453" s="320"/>
      <c r="X1453" s="320"/>
      <c r="Y1453" s="320"/>
    </row>
    <row r="1454" spans="1:25" x14ac:dyDescent="0.45">
      <c r="A1454" s="45">
        <v>19</v>
      </c>
      <c r="B1454" s="45" t="s">
        <v>1333</v>
      </c>
      <c r="C1454" s="428" t="s">
        <v>1431</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1784</v>
      </c>
      <c r="W1454" s="320"/>
      <c r="X1454" s="320"/>
      <c r="Y1454" s="320"/>
    </row>
    <row r="1455" spans="1:25" x14ac:dyDescent="0.45">
      <c r="A1455" s="45">
        <v>20</v>
      </c>
      <c r="B1455" s="45" t="s">
        <v>1334</v>
      </c>
      <c r="C1455" s="428" t="s">
        <v>1431</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1784</v>
      </c>
      <c r="W1455" s="320"/>
      <c r="X1455" s="320"/>
      <c r="Y1455" s="320"/>
    </row>
    <row r="1456" spans="1:25" x14ac:dyDescent="0.45">
      <c r="A1456" s="45">
        <v>21</v>
      </c>
      <c r="B1456" s="45" t="s">
        <v>1335</v>
      </c>
      <c r="C1456" s="428" t="s">
        <v>1431</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1784</v>
      </c>
      <c r="W1456" s="320"/>
      <c r="X1456" s="320"/>
      <c r="Y1456" s="320"/>
    </row>
    <row r="1457" spans="1:25" x14ac:dyDescent="0.45">
      <c r="A1457" s="45">
        <v>22</v>
      </c>
      <c r="B1457" s="45" t="s">
        <v>1336</v>
      </c>
      <c r="C1457" s="428" t="s">
        <v>1431</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1784</v>
      </c>
      <c r="W1457" s="320"/>
      <c r="X1457" s="320"/>
      <c r="Y1457" s="320"/>
    </row>
    <row r="1458" spans="1:25" x14ac:dyDescent="0.45">
      <c r="A1458" s="45">
        <v>23</v>
      </c>
      <c r="B1458" s="45" t="s">
        <v>1337</v>
      </c>
      <c r="C1458" s="428" t="s">
        <v>1431</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1784</v>
      </c>
      <c r="W1458" s="320"/>
      <c r="X1458" s="320"/>
      <c r="Y1458" s="320"/>
    </row>
    <row r="1459" spans="1:25" x14ac:dyDescent="0.45">
      <c r="A1459" s="45">
        <v>24</v>
      </c>
      <c r="B1459" s="45" t="s">
        <v>1338</v>
      </c>
      <c r="C1459" s="428" t="s">
        <v>1431</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1784</v>
      </c>
      <c r="W1459" s="320"/>
      <c r="X1459" s="320"/>
      <c r="Y1459" s="320"/>
    </row>
    <row r="1460" spans="1:25" x14ac:dyDescent="0.45">
      <c r="A1460" s="45">
        <v>25</v>
      </c>
      <c r="B1460" s="45" t="s">
        <v>1339</v>
      </c>
      <c r="C1460" s="428" t="s">
        <v>1431</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1784</v>
      </c>
      <c r="W1460" s="320"/>
      <c r="X1460" s="320"/>
      <c r="Y1460" s="320"/>
    </row>
    <row r="1461" spans="1:25" x14ac:dyDescent="0.45">
      <c r="A1461" s="45">
        <v>26</v>
      </c>
      <c r="B1461" s="45" t="s">
        <v>1340</v>
      </c>
      <c r="C1461" s="428" t="s">
        <v>1431</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1784</v>
      </c>
      <c r="V1461" s="354"/>
      <c r="W1461" s="320"/>
      <c r="X1461" s="320"/>
      <c r="Y1461" s="320"/>
    </row>
    <row r="1462" spans="1:25" x14ac:dyDescent="0.45">
      <c r="A1462" s="45">
        <v>27</v>
      </c>
      <c r="B1462" s="45" t="s">
        <v>1341</v>
      </c>
      <c r="C1462" s="428" t="s">
        <v>1431</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1784</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1342</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1343</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557</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'WSS-28'!L174</f>
        <v>19887373.090099089</v>
      </c>
      <c r="E14" s="247">
        <f>'WSS-28'!L123+'WSS-28'!L124+'WSS-28'!L125</f>
        <v>13312115.018632902</v>
      </c>
      <c r="F14" s="248">
        <f>'WSS-28'!L126</f>
        <v>355222.00691100291</v>
      </c>
      <c r="G14" s="248">
        <f>'WSS-28'!L135</f>
        <v>3709714.5088608493</v>
      </c>
      <c r="H14" s="248">
        <f>'WSS-28'!L145+'WSS-28'!L147+'WSS-28'!L152+'WSS-28'!L141</f>
        <v>1710686.3239096021</v>
      </c>
      <c r="I14" s="248">
        <f>'WSS-28'!L146+'WSS-28'!L148+'WSS-28'!L153+'WSS-28'!L157+'WSS-28'!L160+'WSS-28'!L163</f>
        <v>784936.45139755949</v>
      </c>
      <c r="J14" s="248">
        <f>'WSS-28'!L166+'WSS-28'!L169</f>
        <v>14698.780387173076</v>
      </c>
      <c r="K14" s="249">
        <f>SUM(E14:J14)</f>
        <v>19887373.090099093</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19887373.090099089</v>
      </c>
      <c r="E16" s="253">
        <f t="shared" ref="E16:K16" si="1">E14+E15</f>
        <v>13312115.018632902</v>
      </c>
      <c r="F16" s="254">
        <f t="shared" si="1"/>
        <v>355222.00691100291</v>
      </c>
      <c r="G16" s="254">
        <f t="shared" si="1"/>
        <v>3709714.5088608493</v>
      </c>
      <c r="H16" s="254">
        <f t="shared" si="1"/>
        <v>1710686.3239096021</v>
      </c>
      <c r="I16" s="254">
        <f t="shared" si="1"/>
        <v>784936.45139755949</v>
      </c>
      <c r="J16" s="254">
        <f t="shared" si="1"/>
        <v>14698.780387173076</v>
      </c>
      <c r="K16" s="249">
        <f t="shared" si="1"/>
        <v>19887373.090099093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'WSS-28'!L807</f>
        <v>0.21851010018746445</v>
      </c>
      <c r="E18" s="258">
        <f t="shared" ref="E18:J18" si="2">D18</f>
        <v>0.21851010018746445</v>
      </c>
      <c r="F18" s="259">
        <f t="shared" si="2"/>
        <v>0.21851010018746445</v>
      </c>
      <c r="G18" s="259">
        <f t="shared" si="2"/>
        <v>0.21851010018746445</v>
      </c>
      <c r="H18" s="259">
        <f t="shared" si="2"/>
        <v>0.21851010018746445</v>
      </c>
      <c r="I18" s="259">
        <f t="shared" si="2"/>
        <v>0.21851010018746445</v>
      </c>
      <c r="J18" s="259">
        <f t="shared" si="2"/>
        <v>0.21851010018746445</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4345591.8863830362</v>
      </c>
      <c r="E20" s="253">
        <f t="shared" ref="E20:J20" si="3">E18*E16</f>
        <v>2908831.5864285254</v>
      </c>
      <c r="F20" s="254">
        <f t="shared" si="3"/>
        <v>77619.596318915428</v>
      </c>
      <c r="G20" s="254">
        <f t="shared" si="3"/>
        <v>810610.08899807464</v>
      </c>
      <c r="H20" s="254">
        <f t="shared" si="3"/>
        <v>373802.24002681242</v>
      </c>
      <c r="I20" s="254">
        <f t="shared" si="3"/>
        <v>171516.54263567354</v>
      </c>
      <c r="J20" s="254">
        <f t="shared" si="3"/>
        <v>3211.8319750347264</v>
      </c>
      <c r="K20" s="249">
        <f>SUM(E20:J20)</f>
        <v>4345591.8863830362</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'WSS-28'!L708</f>
        <v>423675.66821378865</v>
      </c>
      <c r="E22" s="253">
        <f t="shared" ref="E22:J22" si="4">(E14/$D$14)*$D$22</f>
        <v>283597.99961041537</v>
      </c>
      <c r="F22" s="254">
        <f t="shared" si="4"/>
        <v>7567.5616111002591</v>
      </c>
      <c r="G22" s="254">
        <f t="shared" si="4"/>
        <v>79030.83862827938</v>
      </c>
      <c r="H22" s="254">
        <f t="shared" si="4"/>
        <v>36444.037535928743</v>
      </c>
      <c r="I22" s="254">
        <f t="shared" si="4"/>
        <v>16722.091653059248</v>
      </c>
      <c r="J22" s="254">
        <f t="shared" si="4"/>
        <v>313.13917500565458</v>
      </c>
      <c r="K22" s="249">
        <f>SUM(E22:J22)</f>
        <v>423675.66821378871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3921916.2181692477</v>
      </c>
      <c r="E24" s="253">
        <f t="shared" ref="E24:J24" si="5">E20-E22</f>
        <v>2625233.5868181102</v>
      </c>
      <c r="F24" s="254">
        <f t="shared" si="5"/>
        <v>70052.034707815168</v>
      </c>
      <c r="G24" s="254">
        <f t="shared" si="5"/>
        <v>731579.25036979525</v>
      </c>
      <c r="H24" s="254">
        <f t="shared" si="5"/>
        <v>337358.20249088365</v>
      </c>
      <c r="I24" s="254">
        <f t="shared" si="5"/>
        <v>154794.4509826143</v>
      </c>
      <c r="J24" s="254">
        <f t="shared" si="5"/>
        <v>2898.6928000290718</v>
      </c>
      <c r="K24" s="249">
        <f>SUM(E24:J24)</f>
        <v>3921916.2181692477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'WSS-28'!L680+'WSS-28'!L799</f>
        <v>807320.43937619415</v>
      </c>
      <c r="E26" s="253">
        <f t="shared" ref="E26:J26" si="6">$D$26*(E24/$K$24)</f>
        <v>540400.30813419004</v>
      </c>
      <c r="F26" s="254">
        <f t="shared" si="6"/>
        <v>14420.10392203365</v>
      </c>
      <c r="G26" s="254">
        <f t="shared" si="6"/>
        <v>150594.46683507966</v>
      </c>
      <c r="H26" s="254">
        <f t="shared" si="6"/>
        <v>69444.668654660665</v>
      </c>
      <c r="I26" s="254">
        <f t="shared" si="6"/>
        <v>31864.200362397434</v>
      </c>
      <c r="J26" s="254">
        <f t="shared" si="6"/>
        <v>596.69146783264921</v>
      </c>
      <c r="K26" s="249">
        <f>SUM(E26:J26)</f>
        <v>807320.43937619426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'WSS-28'!L730</f>
        <v>3698946.5650880304</v>
      </c>
      <c r="E28" s="253">
        <f>'WSS-28'!L180+'WSS-28'!L181+'WSS-28'!L182</f>
        <v>596083.86102802539</v>
      </c>
      <c r="F28" s="254">
        <f>'WSS-28'!L183</f>
        <v>2478005.5319360103</v>
      </c>
      <c r="G28" s="254">
        <f>'WSS-28'!L192</f>
        <v>251176.06795496834</v>
      </c>
      <c r="H28" s="254">
        <f>'WSS-28'!L198+'WSS-28'!L202+'WSS-28'!L204+'WSS-28'!L209</f>
        <v>105669.76454762919</v>
      </c>
      <c r="I28" s="254">
        <f>'WSS-28'!L203+'WSS-28'!L205+'WSS-28'!L210+'WSS-28'!L214+'WSS-28'!L217</f>
        <v>180790.0587283104</v>
      </c>
      <c r="J28" s="254">
        <f>'WSS-28'!L223+'WSS-28'!L226</f>
        <v>87221.280893086805</v>
      </c>
      <c r="K28" s="249">
        <f>SUM(E28:J28)</f>
        <v>3698946.5650880304</v>
      </c>
      <c r="L28" s="250" t="str">
        <f>IF(ABS(K28-D28)&lt;0.01,"ok","err")</f>
        <v>ok</v>
      </c>
      <c r="M28" s="26"/>
      <c r="N28" s="26"/>
    </row>
    <row r="29" spans="1:14" ht="15.3" x14ac:dyDescent="0.55000000000000004">
      <c r="A29" s="282" t="s">
        <v>1803</v>
      </c>
      <c r="B29" s="244" t="s">
        <v>813</v>
      </c>
      <c r="C29" s="245"/>
      <c r="D29" s="253">
        <f>'WSS-28'!L731</f>
        <v>1534704.0192330964</v>
      </c>
      <c r="E29" s="253">
        <f>'WSS-28'!L300</f>
        <v>1291633.8018415116</v>
      </c>
      <c r="F29" s="254">
        <v>0</v>
      </c>
      <c r="G29" s="254">
        <f>'WSS-28'!L306</f>
        <v>152549.48627813905</v>
      </c>
      <c r="H29" s="254">
        <f>'WSS-28'!L312+'WSS-28'!L316+'WSS-28'!L318+'WSS-28'!L323</f>
        <v>62710.813856484092</v>
      </c>
      <c r="I29" s="254">
        <f>'WSS-28'!L317+'WSS-28'!L319+'WSS-28'!L324+'WSS-28'!L328+'WSS-28'!L331</f>
        <v>27809.917256961682</v>
      </c>
      <c r="J29" s="254">
        <v>0</v>
      </c>
      <c r="K29" s="249">
        <f>SUM(E29:J29)</f>
        <v>1534704.0192330964</v>
      </c>
      <c r="L29" s="250" t="str">
        <f>IF(ABS(K29-D29)&lt;0.01,"ok","err")</f>
        <v>ok</v>
      </c>
      <c r="M29" s="26"/>
      <c r="N29" s="26"/>
    </row>
    <row r="30" spans="1:14" ht="15.3" x14ac:dyDescent="0.55000000000000004">
      <c r="A30" s="282" t="s">
        <v>1804</v>
      </c>
      <c r="B30" s="244" t="s">
        <v>408</v>
      </c>
      <c r="C30" s="245"/>
      <c r="D30" s="253">
        <f>'WSS-28'!L733+'WSS-28'!L734</f>
        <v>191476.11447226821</v>
      </c>
      <c r="E30" s="253">
        <f>'WSS-28'!L414+'WSS-28'!L471+'WSS-28'!L357</f>
        <v>138334.91974207695</v>
      </c>
      <c r="F30" s="254">
        <f>'WSS-28'!L529</f>
        <v>0</v>
      </c>
      <c r="G30" s="254">
        <f>'WSS-28'!L420+'WSS-28'!L477+'WSS-28'!L363</f>
        <v>30717.661048454611</v>
      </c>
      <c r="H30" s="254">
        <f>'WSS-28'!L426+'WSS-28'!L430+'WSS-28'!L432+'WSS-28'!L437+'WSS-28'!L483+'WSS-28'!L487+'WSS-28'!L489+'WSS-28'!L494+'WSS-28'!L369+'WSS-28'!L373+'WSS-28'!L375+'WSS-28'!L380</f>
        <v>15514.384065735791</v>
      </c>
      <c r="I30" s="254">
        <f>'WSS-28'!L431+'WSS-28'!L433+'WSS-28'!L438+'WSS-28'!L442+'WSS-28'!L445+'WSS-28'!L488+'WSS-28'!L490+'WSS-28'!L495+'WSS-28'!L499+'WSS-28'!L502+'WSS-28'!L374+'WSS-28'!L376+'WSS-28'!L381+'WSS-28'!L385+'WSS-28'!L388</f>
        <v>6909.1496160008501</v>
      </c>
      <c r="J30" s="254">
        <v>0</v>
      </c>
      <c r="K30" s="249">
        <f>SUM(E30:J30)</f>
        <v>191476.11447226821</v>
      </c>
      <c r="L30" s="250" t="str">
        <f>IF(ABS(K30-D30)&lt;0.01,"ok","err")</f>
        <v>ok</v>
      </c>
      <c r="M30" s="26"/>
      <c r="N30" s="26"/>
    </row>
    <row r="31" spans="1:14" ht="15.3" x14ac:dyDescent="0.55000000000000004">
      <c r="A31" s="282" t="s">
        <v>1805</v>
      </c>
      <c r="B31" s="244" t="s">
        <v>1841</v>
      </c>
      <c r="C31" s="245"/>
      <c r="D31" s="253">
        <f>'WSS-28'!L738</f>
        <v>83449.354118310817</v>
      </c>
      <c r="E31" s="253">
        <f>D31</f>
        <v>83449.354118310817</v>
      </c>
      <c r="F31" s="254"/>
      <c r="G31" s="254"/>
      <c r="H31" s="254"/>
      <c r="I31" s="254"/>
      <c r="J31" s="254"/>
      <c r="K31" s="249">
        <f>SUM(E31:J31)</f>
        <v>83449.354118310817</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'WSS-28'!L796+'WSS-28'!L797</f>
        <v>5409.3662765415811</v>
      </c>
      <c r="E36" s="253">
        <f t="shared" ref="E36:J36" si="9">(E14/($D$14)*$D$36)</f>
        <v>3620.8958179140154</v>
      </c>
      <c r="F36" s="254">
        <f t="shared" si="9"/>
        <v>96.620400098313112</v>
      </c>
      <c r="G36" s="254">
        <f t="shared" si="9"/>
        <v>1009.0424948994058</v>
      </c>
      <c r="H36" s="254">
        <f t="shared" si="9"/>
        <v>465.30674857728951</v>
      </c>
      <c r="I36" s="254">
        <f t="shared" si="9"/>
        <v>213.50274619889589</v>
      </c>
      <c r="J36" s="254">
        <f t="shared" si="9"/>
        <v>3.9980688536611892</v>
      </c>
      <c r="K36" s="249">
        <f t="shared" si="8"/>
        <v>5409.3662765415811</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5409.3662765415811</v>
      </c>
      <c r="E39" s="253">
        <f t="shared" si="10"/>
        <v>3620.8958179140154</v>
      </c>
      <c r="F39" s="254">
        <f t="shared" si="10"/>
        <v>96.620400098313112</v>
      </c>
      <c r="G39" s="254">
        <f t="shared" si="10"/>
        <v>1009.0424948994058</v>
      </c>
      <c r="H39" s="254">
        <f t="shared" si="10"/>
        <v>465.30674857728951</v>
      </c>
      <c r="I39" s="254">
        <f t="shared" si="10"/>
        <v>213.50274619889589</v>
      </c>
      <c r="J39" s="254">
        <f t="shared" si="10"/>
        <v>3.9980688536611892</v>
      </c>
      <c r="K39" s="249">
        <f t="shared" si="8"/>
        <v>5409.3662765415811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10666897.744947478</v>
      </c>
      <c r="E41" s="253">
        <f t="shared" ref="E41:J41" si="11">SUM(E28:E31)+E22+E26+E39+E24</f>
        <v>5562354.7271105545</v>
      </c>
      <c r="F41" s="254">
        <f t="shared" si="11"/>
        <v>2570141.8525770577</v>
      </c>
      <c r="G41" s="254">
        <f t="shared" si="11"/>
        <v>1396656.8136096154</v>
      </c>
      <c r="H41" s="254">
        <f t="shared" si="11"/>
        <v>627607.17789989943</v>
      </c>
      <c r="I41" s="254">
        <f t="shared" si="11"/>
        <v>419103.37134554284</v>
      </c>
      <c r="J41" s="254">
        <f t="shared" si="11"/>
        <v>91033.802404807822</v>
      </c>
      <c r="K41" s="249">
        <f>SUM(E41:J41)</f>
        <v>10666897.744947476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-'WSS-28'!L659-'WSS-28'!L665</f>
        <v>-6365.4986256401471</v>
      </c>
      <c r="E43" s="253">
        <f>D43</f>
        <v>-6365.4986256401471</v>
      </c>
      <c r="F43" s="254">
        <v>0</v>
      </c>
      <c r="G43" s="254">
        <v>0</v>
      </c>
      <c r="H43" s="254">
        <v>0</v>
      </c>
      <c r="I43" s="254">
        <v>0</v>
      </c>
      <c r="J43" s="254">
        <v>0</v>
      </c>
      <c r="K43" s="249">
        <f>SUM(E43:J43)</f>
        <v>-6365.4986256401471</v>
      </c>
      <c r="L43" s="250" t="str">
        <f>IF(ABS(K43-D43)&lt;0.01,"ok","err")</f>
        <v>ok</v>
      </c>
      <c r="M43" s="26"/>
      <c r="N43" s="26"/>
    </row>
    <row r="44" spans="1:14" ht="15.3" x14ac:dyDescent="0.55000000000000004">
      <c r="A44" s="282" t="s">
        <v>1831</v>
      </c>
      <c r="B44" s="244" t="s">
        <v>1833</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1835</v>
      </c>
      <c r="B45" s="244" t="s">
        <v>2470</v>
      </c>
      <c r="C45" s="245"/>
      <c r="D45" s="253">
        <f>-'WSS-28'!L658</f>
        <v>-115510.24703136533</v>
      </c>
      <c r="E45" s="253">
        <v>0</v>
      </c>
      <c r="F45" s="254">
        <v>0</v>
      </c>
      <c r="G45" s="254">
        <f>D45</f>
        <v>-115510.24703136533</v>
      </c>
      <c r="H45" s="254">
        <v>0</v>
      </c>
      <c r="I45" s="254">
        <v>0</v>
      </c>
      <c r="J45" s="254">
        <v>0</v>
      </c>
      <c r="K45" s="249">
        <f>SUM(E45:J45)</f>
        <v>-115510.24703136533</v>
      </c>
      <c r="L45" s="250" t="str">
        <f>IF(ABS(K45-D45)&lt;0.01,"ok","err")</f>
        <v>ok</v>
      </c>
      <c r="M45" s="26"/>
      <c r="N45" s="26"/>
    </row>
    <row r="46" spans="1:14" ht="15.3" x14ac:dyDescent="0.55000000000000004">
      <c r="A46" s="282" t="s">
        <v>1836</v>
      </c>
      <c r="B46" s="244" t="s">
        <v>1834</v>
      </c>
      <c r="C46" s="245"/>
      <c r="D46" s="253">
        <f>-('WSS-28'!L654+'WSS-28'!L655+'WSS-28'!L656+'WSS-28'!L657+'WSS-28'!L660+'WSS-28'!L662+'WSS-28'!L663+'WSS-28'!L664)</f>
        <v>-26834.630496824022</v>
      </c>
      <c r="E46" s="253">
        <f t="shared" ref="E46:J46" si="12">(E14/($D$14)*$D$46)</f>
        <v>-17962.437071896642</v>
      </c>
      <c r="F46" s="254">
        <f t="shared" si="12"/>
        <v>-479.31173496929341</v>
      </c>
      <c r="G46" s="254">
        <f t="shared" si="12"/>
        <v>-5005.6293328930497</v>
      </c>
      <c r="H46" s="254">
        <f t="shared" si="12"/>
        <v>-2308.2804948703088</v>
      </c>
      <c r="I46" s="254">
        <f t="shared" si="12"/>
        <v>-1059.1383558459115</v>
      </c>
      <c r="J46" s="254">
        <f t="shared" si="12"/>
        <v>-19.833506348816034</v>
      </c>
      <c r="K46" s="249">
        <f>SUM(E46:J46)</f>
        <v>-26834.630496824022</v>
      </c>
      <c r="L46" s="250" t="str">
        <f>IF(ABS(K46-D46)&lt;0.01,"ok","err")</f>
        <v>ok</v>
      </c>
      <c r="M46" s="26"/>
      <c r="N46" s="26"/>
    </row>
    <row r="47" spans="1:14" ht="15.3" x14ac:dyDescent="0.55000000000000004">
      <c r="A47" s="282" t="s">
        <v>1842</v>
      </c>
      <c r="B47" s="244" t="s">
        <v>1837</v>
      </c>
      <c r="C47" s="245"/>
      <c r="D47" s="253">
        <f>SUM(D43:D46)</f>
        <v>-188252.70074565415</v>
      </c>
      <c r="E47" s="253">
        <f t="shared" ref="E47:J47" si="13">SUM(E43:E46)</f>
        <v>-24327.935697536788</v>
      </c>
      <c r="F47" s="254">
        <f t="shared" si="13"/>
        <v>-40021.63632679396</v>
      </c>
      <c r="G47" s="254">
        <f t="shared" si="13"/>
        <v>-120515.87636425838</v>
      </c>
      <c r="H47" s="254">
        <f t="shared" si="13"/>
        <v>-2308.2804948703088</v>
      </c>
      <c r="I47" s="254">
        <f t="shared" si="13"/>
        <v>-1059.1383558459115</v>
      </c>
      <c r="J47" s="254">
        <f t="shared" si="13"/>
        <v>-19.833506348816034</v>
      </c>
      <c r="K47" s="249">
        <f>SUM(E47:J47)</f>
        <v>-188252.70074565415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10478645.044201825</v>
      </c>
      <c r="E49" s="253">
        <f t="shared" ref="E49:J49" si="14">E41+E47</f>
        <v>5538026.7914130175</v>
      </c>
      <c r="F49" s="254">
        <f t="shared" si="14"/>
        <v>2530120.2162502636</v>
      </c>
      <c r="G49" s="254">
        <f t="shared" si="14"/>
        <v>1276140.9372453571</v>
      </c>
      <c r="H49" s="254">
        <f t="shared" si="14"/>
        <v>625298.89740502916</v>
      </c>
      <c r="I49" s="254">
        <f t="shared" si="14"/>
        <v>418044.2329896969</v>
      </c>
      <c r="J49" s="254">
        <f t="shared" si="14"/>
        <v>91013.968898459003</v>
      </c>
      <c r="K49" s="249">
        <f>SUM(E49:J49)</f>
        <v>10478645.044201823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422439.48398164229</v>
      </c>
      <c r="F51" s="265">
        <f>'Billing Det'!$C$18</f>
        <v>78721459</v>
      </c>
      <c r="G51" s="265">
        <f>$E$51</f>
        <v>422439.48398164229</v>
      </c>
      <c r="H51" s="265">
        <f>$E$51</f>
        <v>422439.48398164229</v>
      </c>
      <c r="I51" s="265">
        <f>'WSS-28'!L830</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450">
        <f t="shared" ref="E53:J53" si="15">E49/E51</f>
        <v>13.109633453803008</v>
      </c>
      <c r="F53" s="270">
        <f t="shared" si="15"/>
        <v>3.2140159092456141E-2</v>
      </c>
      <c r="G53" s="271">
        <f t="shared" si="15"/>
        <v>3.0208846133824308</v>
      </c>
      <c r="H53" s="271">
        <f t="shared" si="15"/>
        <v>1.4802094054072901</v>
      </c>
      <c r="I53" s="271">
        <f>I49/I51</f>
        <v>170.95797260977636</v>
      </c>
      <c r="J53" s="271">
        <f t="shared" si="15"/>
        <v>37.219897738508628</v>
      </c>
      <c r="K53" s="272">
        <f>I53+J53</f>
        <v>208.17787034828498</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208.17787034828498</v>
      </c>
      <c r="L55" s="291">
        <f>ROUND(K55/30.5,2)</f>
        <v>6.83</v>
      </c>
      <c r="M55" s="26"/>
      <c r="N55" s="26"/>
    </row>
    <row r="56" spans="1:14" ht="15.3" x14ac:dyDescent="0.55000000000000004">
      <c r="A56" s="26"/>
      <c r="B56" s="26"/>
      <c r="C56" s="26"/>
      <c r="D56" s="290"/>
      <c r="E56" s="26"/>
      <c r="F56" s="26"/>
      <c r="G56" s="26"/>
      <c r="H56" s="26"/>
      <c r="I56" s="26"/>
      <c r="J56" s="26" t="s">
        <v>2267</v>
      </c>
      <c r="K56" s="279">
        <f>E53+G53+H53</f>
        <v>17.610727472592728</v>
      </c>
      <c r="L56" s="26"/>
      <c r="M56" s="26"/>
      <c r="N56" s="26"/>
    </row>
    <row r="57" spans="1:14" ht="15.3" x14ac:dyDescent="0.55000000000000004">
      <c r="A57" s="26"/>
      <c r="B57" s="26"/>
      <c r="C57" s="26"/>
      <c r="D57" s="279"/>
      <c r="E57" s="26"/>
      <c r="F57" s="26"/>
      <c r="G57" s="26"/>
      <c r="H57" s="26"/>
      <c r="I57" s="26"/>
      <c r="J57" s="26" t="s">
        <v>2272</v>
      </c>
      <c r="K57" s="289">
        <f>F53</f>
        <v>3.2140159092456141E-2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2265</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'WSS-28'!M174</f>
        <v>424829680.24150598</v>
      </c>
      <c r="E14" s="247">
        <f>'WSS-28'!M123+'WSS-28'!M124+'WSS-28'!M125</f>
        <v>294684316.54612917</v>
      </c>
      <c r="F14" s="248">
        <f>'WSS-28'!M126</f>
        <v>8253333.2471906664</v>
      </c>
      <c r="G14" s="248">
        <f>'WSS-28'!M135</f>
        <v>76374022.101059631</v>
      </c>
      <c r="H14" s="248">
        <f>'WSS-28'!M145+'WSS-28'!M147+'WSS-28'!M152+'WSS-28'!M141</f>
        <v>43595353.406363219</v>
      </c>
      <c r="I14" s="248">
        <f>'WSS-28'!M146+'WSS-28'!M148+'WSS-28'!M153+'WSS-28'!M157+'WSS-28'!M160+'WSS-28'!M163</f>
        <v>1647052.8085038117</v>
      </c>
      <c r="J14" s="248">
        <f>'WSS-28'!M166+'WSS-28'!M169</f>
        <v>275602.13225949515</v>
      </c>
      <c r="K14" s="249">
        <f>SUM(E14:J14)</f>
        <v>424829680.24150592</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424829680.24150598</v>
      </c>
      <c r="E16" s="253">
        <f t="shared" ref="E16:K16" si="1">E14+E15</f>
        <v>294684316.54612917</v>
      </c>
      <c r="F16" s="254">
        <f t="shared" si="1"/>
        <v>8253333.2471906664</v>
      </c>
      <c r="G16" s="254">
        <f t="shared" si="1"/>
        <v>76374022.101059631</v>
      </c>
      <c r="H16" s="254">
        <f t="shared" si="1"/>
        <v>43595353.406363219</v>
      </c>
      <c r="I16" s="254">
        <f t="shared" si="1"/>
        <v>1647052.8085038117</v>
      </c>
      <c r="J16" s="254">
        <f t="shared" si="1"/>
        <v>275602.13225949515</v>
      </c>
      <c r="K16" s="249">
        <f t="shared" si="1"/>
        <v>424829680.24150592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'WSS-28'!M807</f>
        <v>6.5127340248222948E-2</v>
      </c>
      <c r="E18" s="258">
        <f t="shared" ref="E18:J18" si="2">D18</f>
        <v>6.5127340248222948E-2</v>
      </c>
      <c r="F18" s="259">
        <f t="shared" si="2"/>
        <v>6.5127340248222948E-2</v>
      </c>
      <c r="G18" s="259">
        <f t="shared" si="2"/>
        <v>6.5127340248222948E-2</v>
      </c>
      <c r="H18" s="259">
        <f t="shared" si="2"/>
        <v>6.5127340248222948E-2</v>
      </c>
      <c r="I18" s="259">
        <f t="shared" si="2"/>
        <v>6.5127340248222948E-2</v>
      </c>
      <c r="J18" s="259">
        <f t="shared" si="2"/>
        <v>6.5127340248222948E-2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27668027.132632319</v>
      </c>
      <c r="E20" s="253">
        <f t="shared" ref="E20:J20" si="3">E18*E16</f>
        <v>19192005.749514788</v>
      </c>
      <c r="F20" s="254">
        <f t="shared" si="3"/>
        <v>537517.64257175731</v>
      </c>
      <c r="G20" s="254">
        <f t="shared" si="3"/>
        <v>4974036.9235010101</v>
      </c>
      <c r="H20" s="254">
        <f t="shared" si="3"/>
        <v>2839249.4145377427</v>
      </c>
      <c r="I20" s="254">
        <f t="shared" si="3"/>
        <v>107268.16866621895</v>
      </c>
      <c r="J20" s="254">
        <f t="shared" si="3"/>
        <v>17949.233840799883</v>
      </c>
      <c r="K20" s="249">
        <f>SUM(E20:J20)</f>
        <v>27668027.132632319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'WSS-28'!M708</f>
        <v>9086125.1632384751</v>
      </c>
      <c r="E22" s="253">
        <f t="shared" ref="E22:J22" si="4">(E14/$D$14)*$D$22</f>
        <v>6302616.5739159202</v>
      </c>
      <c r="F22" s="254">
        <f t="shared" si="4"/>
        <v>176519.72634129814</v>
      </c>
      <c r="G22" s="254">
        <f t="shared" si="4"/>
        <v>1633463.8475251496</v>
      </c>
      <c r="H22" s="254">
        <f t="shared" si="4"/>
        <v>932403.86914739548</v>
      </c>
      <c r="I22" s="254">
        <f t="shared" si="4"/>
        <v>35226.653561544095</v>
      </c>
      <c r="J22" s="254">
        <f t="shared" si="4"/>
        <v>5894.4927471678102</v>
      </c>
      <c r="K22" s="249">
        <f>SUM(E22:J22)</f>
        <v>9086125.1632384732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18581901.969393842</v>
      </c>
      <c r="E24" s="253">
        <f t="shared" ref="E24:J24" si="5">E20-E22</f>
        <v>12889389.175598867</v>
      </c>
      <c r="F24" s="254">
        <f t="shared" si="5"/>
        <v>360997.91623045917</v>
      </c>
      <c r="G24" s="254">
        <f t="shared" si="5"/>
        <v>3340573.0759758605</v>
      </c>
      <c r="H24" s="254">
        <f t="shared" si="5"/>
        <v>1906845.5453903473</v>
      </c>
      <c r="I24" s="254">
        <f t="shared" si="5"/>
        <v>72041.515104674851</v>
      </c>
      <c r="J24" s="254">
        <f t="shared" si="5"/>
        <v>12054.741093632074</v>
      </c>
      <c r="K24" s="249">
        <f>SUM(E24:J24)</f>
        <v>18581901.969393842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'WSS-28'!M680+'WSS-28'!M799</f>
        <v>5237878.7500642221</v>
      </c>
      <c r="E26" s="253">
        <f t="shared" ref="E26:J26" si="6">$D$26*(E24/$K$24)</f>
        <v>3633269.4992890139</v>
      </c>
      <c r="F26" s="254">
        <f t="shared" si="6"/>
        <v>101758.33008673803</v>
      </c>
      <c r="G26" s="254">
        <f t="shared" si="6"/>
        <v>941642.93604124628</v>
      </c>
      <c r="H26" s="254">
        <f t="shared" si="6"/>
        <v>537502.87663263001</v>
      </c>
      <c r="I26" s="254">
        <f t="shared" si="6"/>
        <v>20307.109665669836</v>
      </c>
      <c r="J26" s="254">
        <f t="shared" si="6"/>
        <v>3397.9983489236492</v>
      </c>
      <c r="K26" s="249">
        <f>SUM(E26:J26)</f>
        <v>5237878.7500642212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'WSS-28'!M730</f>
        <v>80147030.111942157</v>
      </c>
      <c r="E28" s="253">
        <f>'WSS-28'!M180+'WSS-28'!M181+'WSS-28'!M182</f>
        <v>13195240.947464464</v>
      </c>
      <c r="F28" s="254">
        <f>'WSS-28'!M183</f>
        <v>57574713.969154082</v>
      </c>
      <c r="G28" s="254">
        <f>'WSS-28'!M192</f>
        <v>5171105.8949225387</v>
      </c>
      <c r="H28" s="254">
        <f>'WSS-28'!M198+'WSS-28'!M202+'WSS-28'!M204+'WSS-28'!M209</f>
        <v>2388317.1034080843</v>
      </c>
      <c r="I28" s="254">
        <f>'WSS-28'!M203+'WSS-28'!M205+'WSS-28'!M210+'WSS-28'!M214+'WSS-28'!M217</f>
        <v>219889.47393783944</v>
      </c>
      <c r="J28" s="254">
        <f>'WSS-28'!M223+'WSS-28'!M226</f>
        <v>1597762.7230551292</v>
      </c>
      <c r="K28" s="249">
        <f>SUM(E28:J28)</f>
        <v>80147030.111942127</v>
      </c>
      <c r="L28" s="250" t="str">
        <f>IF(ABS(K28-D28)&lt;0.01,"ok","err")</f>
        <v>ok</v>
      </c>
      <c r="M28" s="26"/>
      <c r="N28" s="26"/>
    </row>
    <row r="29" spans="1:14" ht="15.3" x14ac:dyDescent="0.55000000000000004">
      <c r="A29" s="282" t="s">
        <v>1803</v>
      </c>
      <c r="B29" s="244" t="s">
        <v>813</v>
      </c>
      <c r="C29" s="245"/>
      <c r="D29" s="253">
        <f>'WSS-28'!M731</f>
        <v>33399476.380628955</v>
      </c>
      <c r="E29" s="253">
        <f>'WSS-28'!M300</f>
        <v>28592317.869158018</v>
      </c>
      <c r="F29" s="254">
        <v>0</v>
      </c>
      <c r="G29" s="254">
        <f>'WSS-28'!M306</f>
        <v>3140623.8428006498</v>
      </c>
      <c r="H29" s="254">
        <f>'WSS-28'!M312+'WSS-28'!M316+'WSS-28'!M318+'WSS-28'!M323</f>
        <v>1599524.3594848476</v>
      </c>
      <c r="I29" s="254">
        <f>'WSS-28'!M317+'WSS-28'!M319+'WSS-28'!M324+'WSS-28'!M328+'WSS-28'!M331</f>
        <v>67010.309185438397</v>
      </c>
      <c r="J29" s="254">
        <v>0</v>
      </c>
      <c r="K29" s="249">
        <f>SUM(E29:J29)</f>
        <v>33399476.380628955</v>
      </c>
      <c r="L29" s="250" t="str">
        <f>IF(ABS(K29-D29)&lt;0.01,"ok","err")</f>
        <v>ok</v>
      </c>
      <c r="M29" s="26"/>
      <c r="N29" s="26"/>
    </row>
    <row r="30" spans="1:14" ht="15.3" x14ac:dyDescent="0.55000000000000004">
      <c r="A30" s="282" t="s">
        <v>1804</v>
      </c>
      <c r="B30" s="244" t="s">
        <v>408</v>
      </c>
      <c r="C30" s="245"/>
      <c r="D30" s="253">
        <f>'WSS-28'!M733+'WSS-28'!M734</f>
        <v>4106980.2431022236</v>
      </c>
      <c r="E30" s="253">
        <f>'WSS-28'!M414+'WSS-28'!M471+'WSS-28'!M357</f>
        <v>3062258.0425123153</v>
      </c>
      <c r="F30" s="254">
        <f>'WSS-28'!M529</f>
        <v>0</v>
      </c>
      <c r="G30" s="254">
        <f>'WSS-28'!M420+'WSS-28'!M477+'WSS-28'!M363</f>
        <v>632402.12102680979</v>
      </c>
      <c r="H30" s="254">
        <f>'WSS-28'!M426+'WSS-28'!M430+'WSS-28'!M432+'WSS-28'!M437+'WSS-28'!M483+'WSS-28'!M487+'WSS-28'!M489+'WSS-28'!M494+'WSS-28'!M369+'WSS-28'!M373+'WSS-28'!M375+'WSS-28'!M380</f>
        <v>395715.40711207199</v>
      </c>
      <c r="I30" s="254">
        <f>'WSS-28'!M431+'WSS-28'!M433+'WSS-28'!M438+'WSS-28'!M442+'WSS-28'!M445+'WSS-28'!M488+'WSS-28'!M490+'WSS-28'!M495+'WSS-28'!M499+'WSS-28'!M502+'WSS-28'!M374+'WSS-28'!M376+'WSS-28'!M381+'WSS-28'!M385+'WSS-28'!M388</f>
        <v>16604.672451026428</v>
      </c>
      <c r="J30" s="254">
        <v>0</v>
      </c>
      <c r="K30" s="249">
        <f>SUM(E30:J30)</f>
        <v>4106980.2431022231</v>
      </c>
      <c r="L30" s="250" t="str">
        <f>IF(ABS(K30-D30)&lt;0.01,"ok","err")</f>
        <v>ok</v>
      </c>
      <c r="M30" s="26"/>
      <c r="N30" s="26"/>
    </row>
    <row r="31" spans="1:14" ht="15.3" x14ac:dyDescent="0.55000000000000004">
      <c r="A31" s="282" t="s">
        <v>1805</v>
      </c>
      <c r="B31" s="244" t="s">
        <v>1841</v>
      </c>
      <c r="C31" s="245"/>
      <c r="D31" s="253">
        <f>'WSS-28'!M738</f>
        <v>1847280.9054121103</v>
      </c>
      <c r="E31" s="253">
        <f>D31</f>
        <v>1847280.9054121103</v>
      </c>
      <c r="F31" s="254"/>
      <c r="G31" s="254"/>
      <c r="H31" s="254"/>
      <c r="I31" s="254"/>
      <c r="J31" s="254"/>
      <c r="K31" s="249">
        <f>SUM(E31:J31)</f>
        <v>1847280.9054121103</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'WSS-28'!M796+'WSS-28'!M797</f>
        <v>75147.33719260509</v>
      </c>
      <c r="E36" s="253">
        <f t="shared" ref="E36:J36" si="9">(E14/($D$14)*$D$36)</f>
        <v>52126.164274293558</v>
      </c>
      <c r="F36" s="254">
        <f t="shared" si="9"/>
        <v>1459.9168686542725</v>
      </c>
      <c r="G36" s="254">
        <f t="shared" si="9"/>
        <v>13509.659655420352</v>
      </c>
      <c r="H36" s="254">
        <f t="shared" si="9"/>
        <v>7711.5015141983204</v>
      </c>
      <c r="I36" s="254">
        <f t="shared" si="9"/>
        <v>291.34412808517004</v>
      </c>
      <c r="J36" s="254">
        <f t="shared" si="9"/>
        <v>48.750751953421961</v>
      </c>
      <c r="K36" s="249">
        <f t="shared" si="8"/>
        <v>75147.337192605104</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75147.33719260509</v>
      </c>
      <c r="E39" s="253">
        <f t="shared" si="10"/>
        <v>52126.164274293558</v>
      </c>
      <c r="F39" s="254">
        <f t="shared" si="10"/>
        <v>1459.9168686542725</v>
      </c>
      <c r="G39" s="254">
        <f t="shared" si="10"/>
        <v>13509.659655420352</v>
      </c>
      <c r="H39" s="254">
        <f t="shared" si="10"/>
        <v>7711.5015141983204</v>
      </c>
      <c r="I39" s="254">
        <f t="shared" si="10"/>
        <v>291.34412808517004</v>
      </c>
      <c r="J39" s="254">
        <f t="shared" si="10"/>
        <v>48.750751953421961</v>
      </c>
      <c r="K39" s="249">
        <f t="shared" si="8"/>
        <v>75147.337192605104</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152481820.86097461</v>
      </c>
      <c r="E41" s="253">
        <f t="shared" ref="E41:J41" si="11">SUM(E28:E31)+E22+E26+E39+E24</f>
        <v>69574499.177625</v>
      </c>
      <c r="F41" s="254">
        <f t="shared" si="11"/>
        <v>58215449.858681239</v>
      </c>
      <c r="G41" s="254">
        <f t="shared" si="11"/>
        <v>14873321.377947677</v>
      </c>
      <c r="H41" s="254">
        <f t="shared" si="11"/>
        <v>7768020.662689575</v>
      </c>
      <c r="I41" s="254">
        <f t="shared" si="11"/>
        <v>431371.07803427824</v>
      </c>
      <c r="J41" s="254">
        <f t="shared" si="11"/>
        <v>1619158.705996806</v>
      </c>
      <c r="K41" s="249">
        <f>SUM(E41:J41)</f>
        <v>152481820.86097458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-'WSS-28'!M659-'WSS-28'!M665</f>
        <v>-140910.18664926843</v>
      </c>
      <c r="E43" s="253">
        <f>D43</f>
        <v>-140910.18664926843</v>
      </c>
      <c r="F43" s="254">
        <v>0</v>
      </c>
      <c r="G43" s="254">
        <v>0</v>
      </c>
      <c r="H43" s="254">
        <v>0</v>
      </c>
      <c r="I43" s="254">
        <v>0</v>
      </c>
      <c r="J43" s="254">
        <v>0</v>
      </c>
      <c r="K43" s="249">
        <f>SUM(E43:J43)</f>
        <v>-140910.18664926843</v>
      </c>
      <c r="L43" s="250" t="str">
        <f>IF(ABS(K43-D43)&lt;0.01,"ok","err")</f>
        <v>ok</v>
      </c>
      <c r="M43" s="26"/>
      <c r="N43" s="26"/>
    </row>
    <row r="44" spans="1:14" ht="15.3" x14ac:dyDescent="0.55000000000000004">
      <c r="A44" s="282" t="s">
        <v>1831</v>
      </c>
      <c r="B44" s="244" t="s">
        <v>1833</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1835</v>
      </c>
      <c r="B45" s="244" t="s">
        <v>2470</v>
      </c>
      <c r="C45" s="245"/>
      <c r="D45" s="253">
        <f>-'WSS-28'!M658</f>
        <v>-2378075.7625959036</v>
      </c>
      <c r="E45" s="253">
        <v>0</v>
      </c>
      <c r="F45" s="254">
        <v>0</v>
      </c>
      <c r="G45" s="254">
        <f>D45</f>
        <v>-2378075.7625959036</v>
      </c>
      <c r="H45" s="254">
        <v>0</v>
      </c>
      <c r="I45" s="254">
        <v>0</v>
      </c>
      <c r="J45" s="254">
        <v>0</v>
      </c>
      <c r="K45" s="249">
        <f>SUM(E45:J45)</f>
        <v>-2378075.7625959036</v>
      </c>
      <c r="L45" s="250" t="str">
        <f>IF(ABS(K45-D45)&lt;0.01,"ok","err")</f>
        <v>ok</v>
      </c>
      <c r="M45" s="26"/>
      <c r="N45" s="26"/>
    </row>
    <row r="46" spans="1:14" ht="15.3" x14ac:dyDescent="0.55000000000000004">
      <c r="A46" s="282" t="s">
        <v>1836</v>
      </c>
      <c r="B46" s="244" t="s">
        <v>1834</v>
      </c>
      <c r="C46" s="245"/>
      <c r="D46" s="253">
        <f>-('WSS-28'!M654+'WSS-28'!M655+'WSS-28'!M656+'WSS-28'!M657+'WSS-28'!M660+'WSS-28'!M662+'WSS-28'!M663+'WSS-28'!M664)</f>
        <v>-299162.17051794089</v>
      </c>
      <c r="E46" s="253">
        <f t="shared" ref="E46:J46" si="12">(E14/($D$14)*$D$46)</f>
        <v>-207514.6908413271</v>
      </c>
      <c r="F46" s="254">
        <f t="shared" si="12"/>
        <v>-5811.9411215191612</v>
      </c>
      <c r="G46" s="254">
        <f t="shared" si="12"/>
        <v>-53782.066756610548</v>
      </c>
      <c r="H46" s="254">
        <f t="shared" si="12"/>
        <v>-30699.551269888212</v>
      </c>
      <c r="I46" s="254">
        <f t="shared" si="12"/>
        <v>-1159.8433821044746</v>
      </c>
      <c r="J46" s="254">
        <f t="shared" si="12"/>
        <v>-194.07714649139484</v>
      </c>
      <c r="K46" s="249">
        <f>SUM(E46:J46)</f>
        <v>-299162.17051794089</v>
      </c>
      <c r="L46" s="250" t="str">
        <f>IF(ABS(K46-D46)&lt;0.01,"ok","err")</f>
        <v>ok</v>
      </c>
      <c r="M46" s="26"/>
      <c r="N46" s="26"/>
    </row>
    <row r="47" spans="1:14" ht="15.3" x14ac:dyDescent="0.55000000000000004">
      <c r="A47" s="282" t="s">
        <v>1842</v>
      </c>
      <c r="B47" s="244" t="s">
        <v>1837</v>
      </c>
      <c r="C47" s="245"/>
      <c r="D47" s="253">
        <f>SUM(D43:D46)</f>
        <v>-3736886.1930680042</v>
      </c>
      <c r="E47" s="253">
        <f t="shared" ref="E47:J47" si="13">SUM(E43:E46)</f>
        <v>-348424.87749059557</v>
      </c>
      <c r="F47" s="254">
        <f t="shared" si="13"/>
        <v>-924550.01442641066</v>
      </c>
      <c r="G47" s="254">
        <f t="shared" si="13"/>
        <v>-2431857.8293525144</v>
      </c>
      <c r="H47" s="254">
        <f t="shared" si="13"/>
        <v>-30699.551269888212</v>
      </c>
      <c r="I47" s="254">
        <f t="shared" si="13"/>
        <v>-1159.8433821044746</v>
      </c>
      <c r="J47" s="254">
        <f t="shared" si="13"/>
        <v>-194.07714649139484</v>
      </c>
      <c r="K47" s="249">
        <f>SUM(E47:J47)</f>
        <v>-3736886.1930680047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148744934.66790661</v>
      </c>
      <c r="E49" s="253">
        <f t="shared" ref="E49:J49" si="14">E41+E47</f>
        <v>69226074.300134405</v>
      </c>
      <c r="F49" s="254">
        <f t="shared" si="14"/>
        <v>57290899.844254829</v>
      </c>
      <c r="G49" s="254">
        <f t="shared" si="14"/>
        <v>12441463.548595162</v>
      </c>
      <c r="H49" s="254">
        <f t="shared" si="14"/>
        <v>7737321.111419687</v>
      </c>
      <c r="I49" s="254">
        <f t="shared" si="14"/>
        <v>430211.23465217376</v>
      </c>
      <c r="J49" s="254">
        <f t="shared" si="14"/>
        <v>1618964.6288503145</v>
      </c>
      <c r="K49" s="249">
        <f>SUM(E49:J49)</f>
        <v>148744934.66790655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4588573.5905798813</v>
      </c>
      <c r="F51" s="252">
        <f>'Billing Det'!$C$20</f>
        <v>1784202424</v>
      </c>
      <c r="G51" s="252">
        <v>6217430</v>
      </c>
      <c r="H51" s="265">
        <f>G51</f>
        <v>6217430</v>
      </c>
      <c r="I51" s="265">
        <f>'WSS-28'!M830</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446">
        <f t="shared" ref="E53:J53" si="15">E49/E51</f>
        <v>15.08662178639832</v>
      </c>
      <c r="F53" s="270">
        <f t="shared" si="15"/>
        <v>3.211008968131232E-2</v>
      </c>
      <c r="G53" s="447">
        <f t="shared" si="15"/>
        <v>2.0010621026043176</v>
      </c>
      <c r="H53" s="447">
        <f t="shared" si="15"/>
        <v>1.2444564894851549</v>
      </c>
      <c r="I53" s="271">
        <f>I49/I51</f>
        <v>46.785385888400491</v>
      </c>
      <c r="J53" s="271">
        <f t="shared" si="15"/>
        <v>176.06208020502314</v>
      </c>
      <c r="K53" s="272">
        <f>I53+J53</f>
        <v>222.84746609342363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222.84746609342363</v>
      </c>
      <c r="L55" s="291">
        <f>ROUND(K55/30.5,2)</f>
        <v>7.31</v>
      </c>
      <c r="M55" s="26"/>
      <c r="N55" s="26"/>
    </row>
    <row r="56" spans="1:14" ht="15.3" x14ac:dyDescent="0.55000000000000004">
      <c r="A56" s="26"/>
      <c r="B56" s="26"/>
      <c r="C56" s="26"/>
      <c r="D56" s="290"/>
      <c r="E56" s="26"/>
      <c r="F56" s="26"/>
      <c r="G56" s="26"/>
      <c r="H56" s="26"/>
      <c r="I56" s="26"/>
      <c r="J56" s="26" t="s">
        <v>2267</v>
      </c>
      <c r="K56" s="279">
        <f>E53+G53+H53</f>
        <v>18.332140378487793</v>
      </c>
      <c r="L56" s="26"/>
      <c r="M56" s="26"/>
      <c r="N56" s="26"/>
    </row>
    <row r="57" spans="1:14" ht="15.3" x14ac:dyDescent="0.55000000000000004">
      <c r="A57" s="26"/>
      <c r="B57" s="26"/>
      <c r="C57" s="26"/>
      <c r="D57" s="279"/>
      <c r="E57" s="26"/>
      <c r="F57" s="26"/>
      <c r="G57" s="26"/>
      <c r="H57" s="26"/>
      <c r="I57" s="26"/>
      <c r="J57" s="26" t="s">
        <v>2272</v>
      </c>
      <c r="K57" s="289">
        <f>F53</f>
        <v>3.211008968131232E-2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2269</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'WSS-28'!N174</f>
        <v>740452252.7798897</v>
      </c>
      <c r="E14" s="247">
        <f>'WSS-28'!N123+'WSS-28'!N124+'WSS-28'!N125</f>
        <v>539452255.16144478</v>
      </c>
      <c r="F14" s="248">
        <f>'WSS-28'!N126</f>
        <v>17832601.081429161</v>
      </c>
      <c r="G14" s="248">
        <f>'WSS-28'!N135</f>
        <v>124385394.49789551</v>
      </c>
      <c r="H14" s="248">
        <f>'WSS-28'!N145+'WSS-28'!N147+'WSS-28'!N152+'WSS-28'!N141</f>
        <v>57358697.752456076</v>
      </c>
      <c r="I14" s="248">
        <f>'WSS-28'!N146+'WSS-28'!N148+'WSS-28'!N153+'WSS-28'!N157+'WSS-28'!N160+'WSS-28'!N163</f>
        <v>1331076.6450192994</v>
      </c>
      <c r="J14" s="248">
        <f>'WSS-28'!N166+'WSS-28'!N169</f>
        <v>92227.641645007534</v>
      </c>
      <c r="K14" s="249">
        <f>SUM(E14:J14)</f>
        <v>740452252.7798897</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740452252.7798897</v>
      </c>
      <c r="E16" s="253">
        <f t="shared" ref="E16:K16" si="1">E14+E15</f>
        <v>539452255.16144478</v>
      </c>
      <c r="F16" s="254">
        <f t="shared" si="1"/>
        <v>17832601.081429161</v>
      </c>
      <c r="G16" s="254">
        <f t="shared" si="1"/>
        <v>124385394.49789551</v>
      </c>
      <c r="H16" s="254">
        <f t="shared" si="1"/>
        <v>57358697.752456076</v>
      </c>
      <c r="I16" s="254">
        <f t="shared" si="1"/>
        <v>1331076.6450192994</v>
      </c>
      <c r="J16" s="254">
        <f t="shared" si="1"/>
        <v>92227.641645007534</v>
      </c>
      <c r="K16" s="249">
        <f t="shared" si="1"/>
        <v>740452252.7798897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'WSS-28'!N807</f>
        <v>5.9227707124255222E-2</v>
      </c>
      <c r="E18" s="258">
        <f t="shared" ref="E18:J18" si="2">D18</f>
        <v>5.9227707124255222E-2</v>
      </c>
      <c r="F18" s="259">
        <f t="shared" si="2"/>
        <v>5.9227707124255222E-2</v>
      </c>
      <c r="G18" s="259">
        <f t="shared" si="2"/>
        <v>5.9227707124255222E-2</v>
      </c>
      <c r="H18" s="259">
        <f t="shared" si="2"/>
        <v>5.9227707124255222E-2</v>
      </c>
      <c r="I18" s="259">
        <f t="shared" si="2"/>
        <v>5.9227707124255222E-2</v>
      </c>
      <c r="J18" s="259">
        <f t="shared" si="2"/>
        <v>5.9227707124255222E-2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43855289.167142302</v>
      </c>
      <c r="E20" s="253">
        <f t="shared" ref="E20:J20" si="3">E18*E16</f>
        <v>31950520.17622105</v>
      </c>
      <c r="F20" s="254">
        <f t="shared" si="3"/>
        <v>1056184.0741145634</v>
      </c>
      <c r="G20" s="254">
        <f t="shared" si="3"/>
        <v>7367061.7158563025</v>
      </c>
      <c r="H20" s="254">
        <f t="shared" si="3"/>
        <v>3397224.1515111448</v>
      </c>
      <c r="I20" s="254">
        <f t="shared" si="3"/>
        <v>78836.617691139298</v>
      </c>
      <c r="J20" s="254">
        <f t="shared" si="3"/>
        <v>5462.4317481112703</v>
      </c>
      <c r="K20" s="249">
        <f>SUM(E20:J20)</f>
        <v>43855289.167142317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'WSS-28'!N708</f>
        <v>15857524.886993198</v>
      </c>
      <c r="E22" s="253">
        <f t="shared" ref="E22:J22" si="4">(E14/$D$14)*$D$22</f>
        <v>11552909.089615708</v>
      </c>
      <c r="F22" s="254">
        <f t="shared" si="4"/>
        <v>381902.97130832757</v>
      </c>
      <c r="G22" s="254">
        <f t="shared" si="4"/>
        <v>2663837.5147400391</v>
      </c>
      <c r="H22" s="254">
        <f t="shared" si="4"/>
        <v>1228393.8277995558</v>
      </c>
      <c r="I22" s="254">
        <f t="shared" si="4"/>
        <v>28506.33642567023</v>
      </c>
      <c r="J22" s="254">
        <f t="shared" si="4"/>
        <v>1975.1471038999559</v>
      </c>
      <c r="K22" s="249">
        <f>SUM(E22:J22)</f>
        <v>15857524.886993201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27997764.280149102</v>
      </c>
      <c r="E24" s="253">
        <f t="shared" ref="E24:J24" si="5">E20-E22</f>
        <v>20397611.08660534</v>
      </c>
      <c r="F24" s="254">
        <f t="shared" si="5"/>
        <v>674281.1028062359</v>
      </c>
      <c r="G24" s="254">
        <f t="shared" si="5"/>
        <v>4703224.2011162639</v>
      </c>
      <c r="H24" s="254">
        <f t="shared" si="5"/>
        <v>2168830.323711589</v>
      </c>
      <c r="I24" s="254">
        <f t="shared" si="5"/>
        <v>50330.281265469064</v>
      </c>
      <c r="J24" s="254">
        <f t="shared" si="5"/>
        <v>3487.2846442113141</v>
      </c>
      <c r="K24" s="249">
        <f>SUM(E24:J24)</f>
        <v>27997764.28014911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'WSS-28'!N680+'WSS-28'!N799</f>
        <v>8427234.4818140157</v>
      </c>
      <c r="E26" s="253">
        <f t="shared" ref="E26:J26" si="6">$D$26*(E24/$K$24)</f>
        <v>6139613.4982659733</v>
      </c>
      <c r="F26" s="254">
        <f t="shared" si="6"/>
        <v>202956.38262920719</v>
      </c>
      <c r="G26" s="254">
        <f t="shared" si="6"/>
        <v>1415654.9346853085</v>
      </c>
      <c r="H26" s="254">
        <f t="shared" si="6"/>
        <v>652810.75682693103</v>
      </c>
      <c r="I26" s="254">
        <f t="shared" si="6"/>
        <v>15149.248258386293</v>
      </c>
      <c r="J26" s="254">
        <f t="shared" si="6"/>
        <v>1049.6611482094238</v>
      </c>
      <c r="K26" s="249">
        <f>SUM(E26:J26)</f>
        <v>8427234.4818140157</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'WSS-28'!N730</f>
        <v>161369012.01558807</v>
      </c>
      <c r="E28" s="253">
        <f>'WSS-28'!N180+'WSS-28'!N181+'WSS-28'!N182</f>
        <v>24155348.916894525</v>
      </c>
      <c r="F28" s="254">
        <f>'WSS-28'!N183</f>
        <v>124399061.06284878</v>
      </c>
      <c r="G28" s="254">
        <f>'WSS-28'!N192</f>
        <v>8421843.3052959368</v>
      </c>
      <c r="H28" s="254">
        <f>'WSS-28'!N198+'WSS-28'!N202+'WSS-28'!N204+'WSS-28'!N209</f>
        <v>3543069.2357490007</v>
      </c>
      <c r="I28" s="254">
        <f>'WSS-28'!N203+'WSS-28'!N205+'WSS-28'!N210+'WSS-28'!N214+'WSS-28'!N217</f>
        <v>315711.35236887296</v>
      </c>
      <c r="J28" s="254">
        <f>'WSS-28'!N223+'WSS-28'!N226</f>
        <v>533978.14243095706</v>
      </c>
      <c r="K28" s="249">
        <f>SUM(E28:J28)</f>
        <v>161369012.01558807</v>
      </c>
      <c r="L28" s="250" t="str">
        <f>IF(ABS(K28-D28)&lt;0.01,"ok","err")</f>
        <v>ok</v>
      </c>
      <c r="M28" s="26"/>
      <c r="N28" s="26"/>
    </row>
    <row r="29" spans="1:14" ht="15.3" x14ac:dyDescent="0.55000000000000004">
      <c r="A29" s="282" t="s">
        <v>1803</v>
      </c>
      <c r="B29" s="244" t="s">
        <v>813</v>
      </c>
      <c r="C29" s="245"/>
      <c r="D29" s="253">
        <f>'WSS-28'!N731</f>
        <v>59606091.616011411</v>
      </c>
      <c r="E29" s="253">
        <f>'WSS-28'!N300</f>
        <v>52341402.26935254</v>
      </c>
      <c r="F29" s="254">
        <v>0</v>
      </c>
      <c r="G29" s="254">
        <f>'WSS-28'!N306</f>
        <v>5114929.4604301779</v>
      </c>
      <c r="H29" s="254">
        <f>'WSS-28'!N312+'WSS-28'!N316+'WSS-28'!N318+'WSS-28'!N323</f>
        <v>2102671.0551961381</v>
      </c>
      <c r="I29" s="254">
        <f>'WSS-28'!N317+'WSS-28'!N319+'WSS-28'!N324+'WSS-28'!N328+'WSS-28'!N331</f>
        <v>47088.831032560818</v>
      </c>
      <c r="J29" s="254">
        <v>0</v>
      </c>
      <c r="K29" s="249">
        <f>SUM(E29:J29)</f>
        <v>59606091.616011411</v>
      </c>
      <c r="L29" s="250" t="str">
        <f>IF(ABS(K29-D29)&lt;0.01,"ok","err")</f>
        <v>ok</v>
      </c>
      <c r="M29" s="26"/>
      <c r="N29" s="26"/>
    </row>
    <row r="30" spans="1:14" ht="15.3" x14ac:dyDescent="0.55000000000000004">
      <c r="A30" s="282" t="s">
        <v>1804</v>
      </c>
      <c r="B30" s="244" t="s">
        <v>408</v>
      </c>
      <c r="C30" s="245"/>
      <c r="D30" s="253">
        <f>'WSS-28'!N733+'WSS-28'!N734</f>
        <v>7167647.2344024442</v>
      </c>
      <c r="E30" s="253">
        <f>'WSS-28'!N414+'WSS-28'!N471+'WSS-28'!N357</f>
        <v>5605802.2574165352</v>
      </c>
      <c r="F30" s="254">
        <f>'WSS-28'!N529</f>
        <v>0</v>
      </c>
      <c r="G30" s="254">
        <f>'WSS-28'!N420+'WSS-28'!N477+'WSS-28'!N363</f>
        <v>1029952.1374052949</v>
      </c>
      <c r="H30" s="254">
        <f>'WSS-28'!N426+'WSS-28'!N430+'WSS-28'!N432+'WSS-28'!N437+'WSS-28'!N483+'WSS-28'!N487+'WSS-28'!N489+'WSS-28'!N494+'WSS-28'!N369+'WSS-28'!N373+'WSS-28'!N375+'WSS-28'!N380</f>
        <v>520191.72305552609</v>
      </c>
      <c r="I30" s="254">
        <f>'WSS-28'!N431+'WSS-28'!N433+'WSS-28'!N438+'WSS-28'!N442+'WSS-28'!N445+'WSS-28'!N488+'WSS-28'!N490+'WSS-28'!N495+'WSS-28'!N499+'WSS-28'!N502+'WSS-28'!N374+'WSS-28'!N376+'WSS-28'!N381+'WSS-28'!N385+'WSS-28'!N388</f>
        <v>11701.116525086265</v>
      </c>
      <c r="J30" s="254">
        <v>0</v>
      </c>
      <c r="K30" s="249">
        <f>SUM(E30:J30)</f>
        <v>7167647.2344024424</v>
      </c>
      <c r="L30" s="250" t="str">
        <f>IF(ABS(K30-D30)&lt;0.01,"ok","err")</f>
        <v>ok</v>
      </c>
      <c r="M30" s="26"/>
      <c r="N30" s="26"/>
    </row>
    <row r="31" spans="1:14" ht="15.3" x14ac:dyDescent="0.55000000000000004">
      <c r="A31" s="282" t="s">
        <v>1805</v>
      </c>
      <c r="B31" s="244" t="s">
        <v>1841</v>
      </c>
      <c r="C31" s="245"/>
      <c r="D31" s="253">
        <f>'WSS-28'!N738</f>
        <v>3381652.1422688123</v>
      </c>
      <c r="E31" s="253">
        <f>D31</f>
        <v>3381652.1422688123</v>
      </c>
      <c r="F31" s="254"/>
      <c r="G31" s="254"/>
      <c r="H31" s="254"/>
      <c r="I31" s="254"/>
      <c r="J31" s="254"/>
      <c r="K31" s="249">
        <f>SUM(E31:J31)</f>
        <v>3381652.1422688123</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'WSS-28'!N796+'WSS-28'!N797</f>
        <v>139077.05389329951</v>
      </c>
      <c r="E36" s="253">
        <f t="shared" ref="E36:J36" si="9">(E14/($D$14)*$D$36)</f>
        <v>101323.79242858841</v>
      </c>
      <c r="F36" s="254">
        <f t="shared" si="9"/>
        <v>3349.4470606964073</v>
      </c>
      <c r="G36" s="254">
        <f t="shared" si="9"/>
        <v>23362.957097066948</v>
      </c>
      <c r="H36" s="254">
        <f t="shared" si="9"/>
        <v>10773.522085480337</v>
      </c>
      <c r="I36" s="254">
        <f t="shared" si="9"/>
        <v>250.01236420100636</v>
      </c>
      <c r="J36" s="254">
        <f t="shared" si="9"/>
        <v>17.32285726643277</v>
      </c>
      <c r="K36" s="249">
        <f t="shared" si="8"/>
        <v>139077.05389329954</v>
      </c>
      <c r="L36" s="250" t="str">
        <f t="shared" si="7"/>
        <v>ok</v>
      </c>
      <c r="M36" s="26"/>
      <c r="N36" s="26"/>
    </row>
    <row r="37" spans="1:14" ht="15.3" x14ac:dyDescent="0.55000000000000004">
      <c r="A37" s="284" t="s">
        <v>1827</v>
      </c>
      <c r="B37" s="244" t="s">
        <v>2266</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-893379.01610670041</v>
      </c>
      <c r="E39" s="253">
        <f t="shared" si="10"/>
        <v>-931132.27757141157</v>
      </c>
      <c r="F39" s="254">
        <f t="shared" si="10"/>
        <v>3349.4470606964073</v>
      </c>
      <c r="G39" s="254">
        <f t="shared" si="10"/>
        <v>23362.957097066948</v>
      </c>
      <c r="H39" s="254">
        <f t="shared" si="10"/>
        <v>10773.522085480337</v>
      </c>
      <c r="I39" s="254">
        <f t="shared" si="10"/>
        <v>250.01236420100636</v>
      </c>
      <c r="J39" s="254">
        <f t="shared" si="10"/>
        <v>17.32285726643277</v>
      </c>
      <c r="K39" s="249">
        <f t="shared" si="8"/>
        <v>-893379.01610670041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282913547.64112037</v>
      </c>
      <c r="E41" s="253">
        <f t="shared" ref="E41:J41" si="11">SUM(E28:E31)+E22+E26+E39+E24</f>
        <v>122643206.982848</v>
      </c>
      <c r="F41" s="254">
        <f t="shared" si="11"/>
        <v>125661550.96665323</v>
      </c>
      <c r="G41" s="254">
        <f t="shared" si="11"/>
        <v>23372804.51077009</v>
      </c>
      <c r="H41" s="254">
        <f t="shared" si="11"/>
        <v>10226740.444424219</v>
      </c>
      <c r="I41" s="254">
        <f t="shared" si="11"/>
        <v>468737.17824024661</v>
      </c>
      <c r="J41" s="254">
        <f t="shared" si="11"/>
        <v>540507.55818454421</v>
      </c>
      <c r="K41" s="249">
        <f>SUM(E41:J41)</f>
        <v>282913547.64112031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-'WSS-28'!N659-'WSS-28'!N665</f>
        <v>-257951.69167500932</v>
      </c>
      <c r="E43" s="253">
        <f>D43</f>
        <v>-257951.69167500932</v>
      </c>
      <c r="F43" s="254">
        <v>0</v>
      </c>
      <c r="G43" s="254">
        <v>0</v>
      </c>
      <c r="H43" s="254">
        <v>0</v>
      </c>
      <c r="I43" s="254">
        <v>0</v>
      </c>
      <c r="J43" s="254">
        <v>0</v>
      </c>
      <c r="K43" s="249">
        <f>SUM(E43:J43)</f>
        <v>-257951.69167500932</v>
      </c>
      <c r="L43" s="250" t="str">
        <f>IF(ABS(K43-D43)&lt;0.01,"ok","err")</f>
        <v>ok</v>
      </c>
      <c r="M43" s="26"/>
      <c r="N43" s="26"/>
    </row>
    <row r="44" spans="1:14" ht="15.3" x14ac:dyDescent="0.55000000000000004">
      <c r="A44" s="282" t="s">
        <v>1831</v>
      </c>
      <c r="B44" s="244" t="s">
        <v>1833</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1835</v>
      </c>
      <c r="B45" s="244" t="s">
        <v>2470</v>
      </c>
      <c r="C45" s="245"/>
      <c r="D45" s="253">
        <f>-'WSS-28'!N658</f>
        <v>-3873017.0775210653</v>
      </c>
      <c r="E45" s="253">
        <v>0</v>
      </c>
      <c r="F45" s="254">
        <v>0</v>
      </c>
      <c r="G45" s="254">
        <f>D45</f>
        <v>-3873017.0775210653</v>
      </c>
      <c r="H45" s="254">
        <v>0</v>
      </c>
      <c r="I45" s="254">
        <v>0</v>
      </c>
      <c r="J45" s="254">
        <v>0</v>
      </c>
      <c r="K45" s="249">
        <f>SUM(E45:J45)</f>
        <v>-3873017.0775210653</v>
      </c>
      <c r="L45" s="250" t="str">
        <f>IF(ABS(K45-D45)&lt;0.01,"ok","err")</f>
        <v>ok</v>
      </c>
      <c r="M45" s="26"/>
      <c r="N45" s="26"/>
    </row>
    <row r="46" spans="1:14" ht="15.3" x14ac:dyDescent="0.55000000000000004">
      <c r="A46" s="282" t="s">
        <v>1836</v>
      </c>
      <c r="B46" s="244" t="s">
        <v>1834</v>
      </c>
      <c r="C46" s="245"/>
      <c r="D46" s="253">
        <f>-('WSS-28'!N654+'WSS-28'!N655+'WSS-28'!N656+'WSS-28'!N657+'WSS-28'!N660+'WSS-28'!N662+'WSS-28'!N663+'WSS-28'!N664)</f>
        <v>-438891.10335915204</v>
      </c>
      <c r="E46" s="253">
        <f t="shared" ref="E46:J46" si="12">(E14/($D$14)*$D$46)</f>
        <v>-319751.60395355016</v>
      </c>
      <c r="F46" s="254">
        <f t="shared" si="12"/>
        <v>-10569.986025444121</v>
      </c>
      <c r="G46" s="254">
        <f t="shared" si="12"/>
        <v>-73727.431887728919</v>
      </c>
      <c r="H46" s="254">
        <f t="shared" si="12"/>
        <v>-33998.440884348238</v>
      </c>
      <c r="I46" s="254">
        <f t="shared" si="12"/>
        <v>-788.97416436354604</v>
      </c>
      <c r="J46" s="254">
        <f t="shared" si="12"/>
        <v>-54.666443717097422</v>
      </c>
      <c r="K46" s="249">
        <f>SUM(E46:J46)</f>
        <v>-438891.10335915204</v>
      </c>
      <c r="L46" s="250" t="str">
        <f>IF(ABS(K46-D46)&lt;0.01,"ok","err")</f>
        <v>ok</v>
      </c>
      <c r="M46" s="26"/>
      <c r="N46" s="26"/>
    </row>
    <row r="47" spans="1:14" ht="15.3" x14ac:dyDescent="0.55000000000000004">
      <c r="A47" s="282" t="s">
        <v>1842</v>
      </c>
      <c r="B47" s="244" t="s">
        <v>1837</v>
      </c>
      <c r="C47" s="245"/>
      <c r="D47" s="253">
        <f>SUM(D43:D46)</f>
        <v>-6554935.3649502154</v>
      </c>
      <c r="E47" s="253">
        <f t="shared" ref="E47:J47" si="13">SUM(E43:E46)</f>
        <v>-577703.29562855954</v>
      </c>
      <c r="F47" s="254">
        <f t="shared" si="13"/>
        <v>-1995645.4784204338</v>
      </c>
      <c r="G47" s="254">
        <f t="shared" si="13"/>
        <v>-3946744.5094087943</v>
      </c>
      <c r="H47" s="254">
        <f t="shared" si="13"/>
        <v>-33998.440884348238</v>
      </c>
      <c r="I47" s="254">
        <f t="shared" si="13"/>
        <v>-788.97416436354604</v>
      </c>
      <c r="J47" s="254">
        <f t="shared" si="13"/>
        <v>-54.666443717097422</v>
      </c>
      <c r="K47" s="249">
        <f>SUM(E47:J47)</f>
        <v>-6554935.3649502164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276358612.27617013</v>
      </c>
      <c r="E49" s="253">
        <f t="shared" ref="E49:J49" si="14">E41+E47</f>
        <v>122065503.68721944</v>
      </c>
      <c r="F49" s="254">
        <f t="shared" si="14"/>
        <v>123665905.48823279</v>
      </c>
      <c r="G49" s="254">
        <f t="shared" si="14"/>
        <v>19426060.001361296</v>
      </c>
      <c r="H49" s="254">
        <f t="shared" si="14"/>
        <v>10192742.003539871</v>
      </c>
      <c r="I49" s="254">
        <f t="shared" si="14"/>
        <v>467948.20407588308</v>
      </c>
      <c r="J49" s="254">
        <f t="shared" si="14"/>
        <v>540452.89174082712</v>
      </c>
      <c r="K49" s="249">
        <f>SUM(E49:J49)</f>
        <v>276358612.27617007</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8525278.7373274509</v>
      </c>
      <c r="F51" s="252">
        <f>'Billing Det'!$C$22</f>
        <v>3951918371</v>
      </c>
      <c r="G51" s="252">
        <v>10620000</v>
      </c>
      <c r="H51" s="265">
        <f>G51</f>
        <v>10620000</v>
      </c>
      <c r="I51" s="265">
        <f>'WSS-28'!N830</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446">
        <f t="shared" ref="E53:J53" si="15">E49/E51</f>
        <v>14.318066006776123</v>
      </c>
      <c r="F53" s="270">
        <f t="shared" si="15"/>
        <v>3.1292626486346217E-2</v>
      </c>
      <c r="G53" s="447">
        <f t="shared" si="15"/>
        <v>1.8291958570020053</v>
      </c>
      <c r="H53" s="447">
        <f t="shared" si="15"/>
        <v>0.9597685502391593</v>
      </c>
      <c r="I53" s="271">
        <f>I49/I51</f>
        <v>152.60289415403977</v>
      </c>
      <c r="J53" s="271">
        <f t="shared" si="15"/>
        <v>176.24744515569498</v>
      </c>
      <c r="K53" s="272">
        <f>I53+J53</f>
        <v>328.85033930973475</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328.85033930973475</v>
      </c>
      <c r="L55" s="291">
        <f>ROUND(K55/30.5,2)</f>
        <v>10.78</v>
      </c>
      <c r="M55" s="26"/>
      <c r="N55" s="26"/>
    </row>
    <row r="56" spans="1:14" ht="15.3" x14ac:dyDescent="0.55000000000000004">
      <c r="A56" s="26"/>
      <c r="B56" s="26"/>
      <c r="C56" s="26"/>
      <c r="D56" s="290"/>
      <c r="E56" s="26"/>
      <c r="F56" s="26"/>
      <c r="G56" s="26"/>
      <c r="H56" s="26"/>
      <c r="I56" s="26"/>
      <c r="J56" s="26" t="s">
        <v>2267</v>
      </c>
      <c r="K56" s="279">
        <f>E53+G53+H53</f>
        <v>17.107030414017284</v>
      </c>
      <c r="L56" s="26"/>
      <c r="M56" s="26"/>
      <c r="N56" s="26"/>
    </row>
    <row r="57" spans="1:14" ht="15.3" x14ac:dyDescent="0.55000000000000004">
      <c r="A57" s="26"/>
      <c r="B57" s="26"/>
      <c r="C57" s="26"/>
      <c r="D57" s="279"/>
      <c r="E57" s="26"/>
      <c r="F57" s="26"/>
      <c r="G57" s="26"/>
      <c r="H57" s="26"/>
      <c r="I57" s="26"/>
      <c r="J57" s="26" t="s">
        <v>2272</v>
      </c>
      <c r="K57" s="289">
        <f>F53</f>
        <v>3.1292626486346217E-2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'WSS-28'!O174</f>
        <v>225535968.00398141</v>
      </c>
      <c r="E14" s="247">
        <f>'WSS-28'!O123+'WSS-28'!O124+'WSS-28'!O125</f>
        <v>175599829.95771211</v>
      </c>
      <c r="F14" s="248">
        <f>'WSS-28'!O126</f>
        <v>6206391.0166964289</v>
      </c>
      <c r="G14" s="248">
        <f>'WSS-28'!O135</f>
        <v>43134165.823783822</v>
      </c>
      <c r="H14" s="248">
        <f>'WSS-28'!O145+'WSS-28'!O147+'WSS-28'!O152+'WSS-28'!O141</f>
        <v>0</v>
      </c>
      <c r="I14" s="248">
        <f>'WSS-28'!O146+'WSS-28'!O148+'WSS-28'!O153+'WSS-28'!O157+'WSS-28'!O160+'WSS-28'!O163</f>
        <v>588375.92128553998</v>
      </c>
      <c r="J14" s="248">
        <f>'WSS-28'!O166+'WSS-28'!O169</f>
        <v>7205.2845035162136</v>
      </c>
      <c r="K14" s="249">
        <f>SUM(E14:J14)</f>
        <v>225535968.00398141</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225535968.00398141</v>
      </c>
      <c r="E16" s="253">
        <f t="shared" ref="E16:K16" si="1">E14+E15</f>
        <v>175599829.95771211</v>
      </c>
      <c r="F16" s="254">
        <f t="shared" si="1"/>
        <v>6206391.0166964289</v>
      </c>
      <c r="G16" s="254">
        <f t="shared" si="1"/>
        <v>43134165.823783822</v>
      </c>
      <c r="H16" s="254">
        <f t="shared" si="1"/>
        <v>0</v>
      </c>
      <c r="I16" s="254">
        <f t="shared" si="1"/>
        <v>588375.92128553998</v>
      </c>
      <c r="J16" s="254">
        <f t="shared" si="1"/>
        <v>7205.2845035162136</v>
      </c>
      <c r="K16" s="249">
        <f t="shared" si="1"/>
        <v>225535968.00398141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'WSS-28'!O807</f>
        <v>6.4415896157423144E-2</v>
      </c>
      <c r="E18" s="258">
        <f t="shared" ref="E18:J18" si="2">D18</f>
        <v>6.4415896157423144E-2</v>
      </c>
      <c r="F18" s="259">
        <f t="shared" si="2"/>
        <v>6.4415896157423144E-2</v>
      </c>
      <c r="G18" s="259">
        <f t="shared" si="2"/>
        <v>6.4415896157423144E-2</v>
      </c>
      <c r="H18" s="259">
        <f t="shared" si="2"/>
        <v>6.4415896157423144E-2</v>
      </c>
      <c r="I18" s="259">
        <f t="shared" si="2"/>
        <v>6.4415896157423144E-2</v>
      </c>
      <c r="J18" s="259">
        <f t="shared" si="2"/>
        <v>6.4415896157423144E-2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14528101.494708376</v>
      </c>
      <c r="E20" s="253">
        <f t="shared" ref="E20:J20" si="3">E18*E16</f>
        <v>11311420.411817145</v>
      </c>
      <c r="F20" s="254">
        <f t="shared" si="3"/>
        <v>399790.23924388102</v>
      </c>
      <c r="G20" s="254">
        <f t="shared" si="3"/>
        <v>2778525.9465419292</v>
      </c>
      <c r="H20" s="254">
        <f t="shared" si="3"/>
        <v>0</v>
      </c>
      <c r="I20" s="254">
        <f t="shared" si="3"/>
        <v>37900.762247057515</v>
      </c>
      <c r="J20" s="254">
        <f t="shared" si="3"/>
        <v>464.13485836319057</v>
      </c>
      <c r="K20" s="249">
        <f>SUM(E20:J20)</f>
        <v>14528101.494708376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'WSS-28'!O708</f>
        <v>4838726.1642371649</v>
      </c>
      <c r="E22" s="253">
        <f t="shared" ref="E22:J22" si="4">(E14/$D$14)*$D$22</f>
        <v>3767379.0977631523</v>
      </c>
      <c r="F22" s="254">
        <f t="shared" si="4"/>
        <v>133154.04573272041</v>
      </c>
      <c r="G22" s="254">
        <f t="shared" si="4"/>
        <v>925415.21687752637</v>
      </c>
      <c r="H22" s="254">
        <f t="shared" si="4"/>
        <v>0</v>
      </c>
      <c r="I22" s="254">
        <f t="shared" si="4"/>
        <v>12623.219213891554</v>
      </c>
      <c r="J22" s="254">
        <f t="shared" si="4"/>
        <v>154.58464987420999</v>
      </c>
      <c r="K22" s="249">
        <f>SUM(E22:J22)</f>
        <v>4838726.1642371649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9689375.3304712102</v>
      </c>
      <c r="E24" s="253">
        <f t="shared" ref="E24:J24" si="5">E20-E22</f>
        <v>7544041.3140539918</v>
      </c>
      <c r="F24" s="254">
        <f t="shared" si="5"/>
        <v>266636.19351116061</v>
      </c>
      <c r="G24" s="254">
        <f t="shared" si="5"/>
        <v>1853110.7296644028</v>
      </c>
      <c r="H24" s="254">
        <f t="shared" si="5"/>
        <v>0</v>
      </c>
      <c r="I24" s="254">
        <f t="shared" si="5"/>
        <v>25277.543033165959</v>
      </c>
      <c r="J24" s="254">
        <f t="shared" si="5"/>
        <v>309.55020848898062</v>
      </c>
      <c r="K24" s="249">
        <f>SUM(E24:J24)</f>
        <v>9689375.3304712102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'WSS-28'!O680+'WSS-28'!O799</f>
        <v>2324923.3816774972</v>
      </c>
      <c r="E26" s="253">
        <f t="shared" ref="E26:J26" si="6">$D$26*(E24/$K$24)</f>
        <v>1810159.834373161</v>
      </c>
      <c r="F26" s="254">
        <f t="shared" si="6"/>
        <v>63978.192561711396</v>
      </c>
      <c r="G26" s="254">
        <f t="shared" si="6"/>
        <v>444645.84323463251</v>
      </c>
      <c r="H26" s="254">
        <f t="shared" si="6"/>
        <v>0</v>
      </c>
      <c r="I26" s="254">
        <f t="shared" si="6"/>
        <v>6065.2362845674452</v>
      </c>
      <c r="J26" s="254">
        <f t="shared" si="6"/>
        <v>74.275223424973447</v>
      </c>
      <c r="K26" s="249">
        <f>SUM(E26:J26)</f>
        <v>2324923.3816774976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'WSS-28'!O730</f>
        <v>54271582.06786228</v>
      </c>
      <c r="E28" s="253">
        <f>'WSS-28'!O180+'WSS-28'!O181+'WSS-28'!O182</f>
        <v>7862929.7065529078</v>
      </c>
      <c r="F28" s="254">
        <f>'WSS-28'!O183</f>
        <v>43295378.590056986</v>
      </c>
      <c r="G28" s="254">
        <f>'WSS-28'!O192</f>
        <v>2920513.1932005468</v>
      </c>
      <c r="H28" s="254">
        <f>'WSS-28'!O198+'WSS-28'!O202+'WSS-28'!O204+'WSS-28'!O209</f>
        <v>0</v>
      </c>
      <c r="I28" s="254">
        <f>'WSS-28'!O203+'WSS-28'!O205+'WSS-28'!O210+'WSS-28'!O214+'WSS-28'!O217</f>
        <v>151043.53567442548</v>
      </c>
      <c r="J28" s="254">
        <f>'WSS-28'!O223+'WSS-28'!O226</f>
        <v>41717.042377418518</v>
      </c>
      <c r="K28" s="249">
        <f>SUM(E28:J28)</f>
        <v>54271582.06786228</v>
      </c>
      <c r="L28" s="250" t="str">
        <f>IF(ABS(K28-D28)&lt;0.01,"ok","err")</f>
        <v>ok</v>
      </c>
      <c r="M28" s="26"/>
      <c r="N28" s="26"/>
    </row>
    <row r="29" spans="1:14" ht="15.3" x14ac:dyDescent="0.55000000000000004">
      <c r="A29" s="282" t="s">
        <v>1803</v>
      </c>
      <c r="B29" s="244" t="s">
        <v>813</v>
      </c>
      <c r="C29" s="245"/>
      <c r="D29" s="253">
        <f>'WSS-28'!O731</f>
        <v>18832387.238158166</v>
      </c>
      <c r="E29" s="253">
        <f>'WSS-28'!O300</f>
        <v>17037914.385019727</v>
      </c>
      <c r="F29" s="254">
        <v>0</v>
      </c>
      <c r="G29" s="254">
        <f>'WSS-28'!O306</f>
        <v>1773746.9613193632</v>
      </c>
      <c r="H29" s="254">
        <f>'WSS-28'!O312+'WSS-28'!O316+'WSS-28'!O318+'WSS-28'!O323</f>
        <v>0</v>
      </c>
      <c r="I29" s="254">
        <f>'WSS-28'!O317+'WSS-28'!O319+'WSS-28'!O324+'WSS-28'!O328+'WSS-28'!O331</f>
        <v>20725.891819075743</v>
      </c>
      <c r="J29" s="254">
        <v>0</v>
      </c>
      <c r="K29" s="249">
        <f>SUM(E29:J29)</f>
        <v>18832387.238158166</v>
      </c>
      <c r="L29" s="250" t="str">
        <f>IF(ABS(K29-D29)&lt;0.01,"ok","err")</f>
        <v>ok</v>
      </c>
      <c r="M29" s="26"/>
      <c r="N29" s="26"/>
    </row>
    <row r="30" spans="1:14" ht="15.3" x14ac:dyDescent="0.55000000000000004">
      <c r="A30" s="282" t="s">
        <v>1804</v>
      </c>
      <c r="B30" s="244" t="s">
        <v>408</v>
      </c>
      <c r="C30" s="245"/>
      <c r="D30" s="253">
        <f>'WSS-28'!O733+'WSS-28'!O734</f>
        <v>2187091.2108008387</v>
      </c>
      <c r="E30" s="253">
        <f>'WSS-28'!O414+'WSS-28'!O471+'WSS-28'!O357</f>
        <v>1824773.0244158534</v>
      </c>
      <c r="F30" s="254">
        <f>'WSS-28'!O529</f>
        <v>0</v>
      </c>
      <c r="G30" s="254">
        <f>'WSS-28'!O420+'WSS-28'!O477+'WSS-28'!O363</f>
        <v>357165.13554292114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2187091.2108008387</v>
      </c>
      <c r="L30" s="250" t="str">
        <f>IF(ABS(K30-D30)&lt;0.01,"ok","err")</f>
        <v>ok</v>
      </c>
      <c r="M30" s="26"/>
      <c r="N30" s="26"/>
    </row>
    <row r="31" spans="1:14" ht="15.3" x14ac:dyDescent="0.55000000000000004">
      <c r="A31" s="282" t="s">
        <v>1805</v>
      </c>
      <c r="B31" s="244" t="s">
        <v>1841</v>
      </c>
      <c r="C31" s="245"/>
      <c r="D31" s="253">
        <f>'WSS-28'!O738</f>
        <v>1100778.6796272106</v>
      </c>
      <c r="E31" s="253">
        <f>D31</f>
        <v>1100778.6796272106</v>
      </c>
      <c r="F31" s="254"/>
      <c r="G31" s="254"/>
      <c r="H31" s="254"/>
      <c r="I31" s="254"/>
      <c r="J31" s="254"/>
      <c r="K31" s="249">
        <f>SUM(E31:J31)</f>
        <v>1100778.6796272106</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'WSS-28'!O796+'WSS-28'!O797</f>
        <v>45346.023099847182</v>
      </c>
      <c r="E36" s="253">
        <f t="shared" ref="E36:J36" si="9">(E14/($D$14)*$D$36)</f>
        <v>35305.916018907825</v>
      </c>
      <c r="F36" s="254">
        <f t="shared" si="9"/>
        <v>1247.8504111806774</v>
      </c>
      <c r="G36" s="254">
        <f t="shared" si="9"/>
        <v>8672.5097426739994</v>
      </c>
      <c r="H36" s="254">
        <f t="shared" si="9"/>
        <v>0</v>
      </c>
      <c r="I36" s="254">
        <f t="shared" si="9"/>
        <v>118.29824020591239</v>
      </c>
      <c r="J36" s="254">
        <f t="shared" si="9"/>
        <v>1.4486868787671567</v>
      </c>
      <c r="K36" s="249">
        <f t="shared" si="8"/>
        <v>45346.023099847182</v>
      </c>
      <c r="L36" s="250" t="str">
        <f t="shared" si="7"/>
        <v>ok</v>
      </c>
      <c r="M36" s="26"/>
      <c r="N36" s="26"/>
    </row>
    <row r="37" spans="1:14" ht="15.3" x14ac:dyDescent="0.55000000000000004">
      <c r="A37" s="284" t="s">
        <v>1827</v>
      </c>
      <c r="B37" s="244" t="s">
        <v>2266</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-3340774.1669001528</v>
      </c>
      <c r="E39" s="253">
        <f t="shared" si="10"/>
        <v>-3350814.273981092</v>
      </c>
      <c r="F39" s="254">
        <f t="shared" si="10"/>
        <v>1247.8504111806774</v>
      </c>
      <c r="G39" s="254">
        <f t="shared" si="10"/>
        <v>8672.5097426739994</v>
      </c>
      <c r="H39" s="254">
        <f t="shared" si="10"/>
        <v>0</v>
      </c>
      <c r="I39" s="254">
        <f t="shared" si="10"/>
        <v>118.29824020591239</v>
      </c>
      <c r="J39" s="254">
        <f t="shared" si="10"/>
        <v>1.4486868787671567</v>
      </c>
      <c r="K39" s="249">
        <f t="shared" si="8"/>
        <v>-3340774.1669001528</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89904089.905934215</v>
      </c>
      <c r="E41" s="253">
        <f t="shared" ref="E41:J41" si="11">SUM(E28:E31)+E22+E26+E39+E24</f>
        <v>37597161.767824911</v>
      </c>
      <c r="F41" s="254">
        <f t="shared" si="11"/>
        <v>43760394.872273758</v>
      </c>
      <c r="G41" s="254">
        <f t="shared" si="11"/>
        <v>8283269.589582067</v>
      </c>
      <c r="H41" s="254">
        <f t="shared" si="11"/>
        <v>0</v>
      </c>
      <c r="I41" s="254">
        <f t="shared" si="11"/>
        <v>221006.77510739589</v>
      </c>
      <c r="J41" s="254">
        <f t="shared" si="11"/>
        <v>42256.901146085445</v>
      </c>
      <c r="K41" s="249">
        <f>SUM(E41:J41)</f>
        <v>89904089.905934215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-'WSS-28'!O659-'WSS-28'!O665</f>
        <v>-83967.158839441239</v>
      </c>
      <c r="E43" s="253">
        <f>D43</f>
        <v>-83967.158839441239</v>
      </c>
      <c r="F43" s="254">
        <v>0</v>
      </c>
      <c r="G43" s="254">
        <v>0</v>
      </c>
      <c r="H43" s="254">
        <v>0</v>
      </c>
      <c r="I43" s="254">
        <v>0</v>
      </c>
      <c r="J43" s="254">
        <v>0</v>
      </c>
      <c r="K43" s="249">
        <f>SUM(E43:J43)</f>
        <v>-83967.158839441239</v>
      </c>
      <c r="L43" s="250" t="str">
        <f>IF(ABS(K43-D43)&lt;0.01,"ok","err")</f>
        <v>ok</v>
      </c>
      <c r="M43" s="26"/>
      <c r="N43" s="26"/>
    </row>
    <row r="44" spans="1:14" ht="15.3" x14ac:dyDescent="0.55000000000000004">
      <c r="A44" s="282" t="s">
        <v>1831</v>
      </c>
      <c r="B44" s="244" t="s">
        <v>1833</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1835</v>
      </c>
      <c r="B45" s="244" t="s">
        <v>2470</v>
      </c>
      <c r="C45" s="245"/>
      <c r="D45" s="253">
        <f>-'WSS-28'!O658</f>
        <v>-1343078.594834273</v>
      </c>
      <c r="E45" s="253">
        <v>0</v>
      </c>
      <c r="F45" s="254">
        <v>0</v>
      </c>
      <c r="G45" s="254">
        <f>D45</f>
        <v>-1343078.594834273</v>
      </c>
      <c r="H45" s="254">
        <v>0</v>
      </c>
      <c r="I45" s="254">
        <v>0</v>
      </c>
      <c r="J45" s="254">
        <v>0</v>
      </c>
      <c r="K45" s="249">
        <f>SUM(E45:J45)</f>
        <v>-1343078.594834273</v>
      </c>
      <c r="L45" s="250" t="str">
        <f>IF(ABS(K45-D45)&lt;0.01,"ok","err")</f>
        <v>ok</v>
      </c>
      <c r="M45" s="26"/>
      <c r="N45" s="26"/>
    </row>
    <row r="46" spans="1:14" ht="15.3" x14ac:dyDescent="0.55000000000000004">
      <c r="A46" s="282" t="s">
        <v>1836</v>
      </c>
      <c r="B46" s="244" t="s">
        <v>1834</v>
      </c>
      <c r="C46" s="245"/>
      <c r="D46" s="253">
        <f>-('WSS-28'!O654+'WSS-28'!O655+'WSS-28'!O656+'WSS-28'!O657+'WSS-28'!O660+'WSS-28'!O662+'WSS-28'!O663+'WSS-28'!O664)</f>
        <v>-129263.46488549298</v>
      </c>
      <c r="E46" s="253">
        <f t="shared" ref="E46:J46" si="12">(E14/($D$14)*$D$46)</f>
        <v>-100643.11539539696</v>
      </c>
      <c r="F46" s="254">
        <f t="shared" si="12"/>
        <v>-3557.1248983142928</v>
      </c>
      <c r="G46" s="254">
        <f t="shared" si="12"/>
        <v>-24721.873759972885</v>
      </c>
      <c r="H46" s="254">
        <f t="shared" si="12"/>
        <v>0</v>
      </c>
      <c r="I46" s="254">
        <f t="shared" si="12"/>
        <v>-337.2212020710611</v>
      </c>
      <c r="J46" s="254">
        <f t="shared" si="12"/>
        <v>-4.1296297377889326</v>
      </c>
      <c r="K46" s="249">
        <f>SUM(E46:J46)</f>
        <v>-129263.46488549298</v>
      </c>
      <c r="L46" s="250" t="str">
        <f>IF(ABS(K46-D46)&lt;0.01,"ok","err")</f>
        <v>ok</v>
      </c>
      <c r="M46" s="26"/>
      <c r="N46" s="26"/>
    </row>
    <row r="47" spans="1:14" ht="15.3" x14ac:dyDescent="0.55000000000000004">
      <c r="A47" s="282" t="s">
        <v>1842</v>
      </c>
      <c r="B47" s="244" t="s">
        <v>1837</v>
      </c>
      <c r="C47" s="245"/>
      <c r="D47" s="253">
        <f>SUM(D43:D46)</f>
        <v>-2247187.3830629084</v>
      </c>
      <c r="E47" s="253">
        <f t="shared" ref="E47:J47" si="13">SUM(E43:E46)</f>
        <v>-184610.2742348382</v>
      </c>
      <c r="F47" s="254">
        <f t="shared" si="13"/>
        <v>-694435.28940201586</v>
      </c>
      <c r="G47" s="254">
        <f t="shared" si="13"/>
        <v>-1367800.4685942458</v>
      </c>
      <c r="H47" s="254">
        <f t="shared" si="13"/>
        <v>0</v>
      </c>
      <c r="I47" s="254">
        <f t="shared" si="13"/>
        <v>-337.2212020710611</v>
      </c>
      <c r="J47" s="254">
        <f t="shared" si="13"/>
        <v>-4.1296297377889326</v>
      </c>
      <c r="K47" s="249">
        <f>SUM(E47:J47)</f>
        <v>-2247187.3830629089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87656902.522871301</v>
      </c>
      <c r="E49" s="253">
        <f t="shared" ref="E49:J49" si="14">E41+E47</f>
        <v>37412551.493590072</v>
      </c>
      <c r="F49" s="254">
        <f t="shared" si="14"/>
        <v>43065959.582871743</v>
      </c>
      <c r="G49" s="254">
        <f t="shared" si="14"/>
        <v>6915469.1209878214</v>
      </c>
      <c r="H49" s="254">
        <f t="shared" si="14"/>
        <v>0</v>
      </c>
      <c r="I49" s="254">
        <f t="shared" si="14"/>
        <v>220669.55390532484</v>
      </c>
      <c r="J49" s="254">
        <f t="shared" si="14"/>
        <v>42252.771516347653</v>
      </c>
      <c r="K49" s="249">
        <f>SUM(E49:J49)</f>
        <v>87656902.522871315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2902956</v>
      </c>
      <c r="F51" s="252">
        <f>'Billing Det'!$C$24</f>
        <v>1404629847</v>
      </c>
      <c r="G51" s="252">
        <v>3201300</v>
      </c>
      <c r="H51" s="265">
        <f>G51</f>
        <v>3201300</v>
      </c>
      <c r="I51" s="265">
        <f>'WSS-28'!O830</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2473</v>
      </c>
      <c r="B53" s="266" t="s">
        <v>1814</v>
      </c>
      <c r="C53" s="267"/>
      <c r="D53" s="268"/>
      <c r="E53" s="446">
        <f t="shared" ref="E53:J53" si="15">E49/E51</f>
        <v>12.887743215394954</v>
      </c>
      <c r="F53" s="270">
        <f t="shared" si="15"/>
        <v>3.0660006032800571E-2</v>
      </c>
      <c r="G53" s="447">
        <f t="shared" si="15"/>
        <v>2.1602065164114022</v>
      </c>
      <c r="H53" s="447">
        <f t="shared" si="15"/>
        <v>0</v>
      </c>
      <c r="I53" s="271">
        <f>I49/I51</f>
        <v>919.45647460552016</v>
      </c>
      <c r="J53" s="271">
        <f t="shared" si="15"/>
        <v>176.05321465144854</v>
      </c>
      <c r="K53" s="272">
        <f>I53+J53</f>
        <v>1095.5096892569686</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1095.5096892569686</v>
      </c>
      <c r="L55" s="291">
        <f>ROUND(K55/30.5,2)</f>
        <v>35.92</v>
      </c>
      <c r="M55" s="26"/>
      <c r="N55" s="26"/>
    </row>
    <row r="56" spans="1:14" ht="15.3" x14ac:dyDescent="0.55000000000000004">
      <c r="A56" s="26"/>
      <c r="B56" s="26"/>
      <c r="C56" s="26"/>
      <c r="D56" s="290"/>
      <c r="E56" s="26"/>
      <c r="F56" s="26"/>
      <c r="G56" s="26"/>
      <c r="H56" s="26"/>
      <c r="I56" s="26"/>
      <c r="J56" s="26" t="s">
        <v>2267</v>
      </c>
      <c r="K56" s="279">
        <f>E53+G53+H53</f>
        <v>15.047949731806355</v>
      </c>
      <c r="L56" s="26"/>
      <c r="M56" s="26"/>
      <c r="N56" s="26"/>
    </row>
    <row r="57" spans="1:14" ht="15.3" x14ac:dyDescent="0.55000000000000004">
      <c r="A57" s="26"/>
      <c r="B57" s="26"/>
      <c r="C57" s="26"/>
      <c r="D57" s="279"/>
      <c r="E57" s="26"/>
      <c r="F57" s="26"/>
      <c r="G57" s="26"/>
      <c r="H57" s="26"/>
      <c r="I57" s="26"/>
      <c r="J57" s="26" t="s">
        <v>2272</v>
      </c>
      <c r="K57" s="289">
        <f>F53</f>
        <v>3.0660006032800571E-2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'WSS-28'!P174</f>
        <v>104333029.76968977</v>
      </c>
      <c r="E14" s="247">
        <f>'WSS-28'!P123+'WSS-28'!P124+'WSS-28'!P125</f>
        <v>72715647.97899279</v>
      </c>
      <c r="F14" s="248">
        <f>'WSS-28'!P126</f>
        <v>2677141.4367464744</v>
      </c>
      <c r="G14" s="248">
        <f>'WSS-28'!P135</f>
        <v>28903199.637465902</v>
      </c>
      <c r="H14" s="248">
        <f>'WSS-28'!P145+'WSS-28'!P147+'WSS-28'!P152+'WSS-28'!P141</f>
        <v>0</v>
      </c>
      <c r="I14" s="248">
        <f>'WSS-28'!P146+'WSS-28'!P148+'WSS-28'!P153+'WSS-28'!P157+'WSS-28'!P160+'WSS-28'!P163</f>
        <v>36320.188034255923</v>
      </c>
      <c r="J14" s="248">
        <f>'WSS-28'!P166+'WSS-28'!P169</f>
        <v>720.52845035162136</v>
      </c>
      <c r="K14" s="249">
        <f>SUM(E14:J14)</f>
        <v>104333029.76968977</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104333029.76968977</v>
      </c>
      <c r="E16" s="253">
        <f t="shared" ref="E16:K16" si="1">E14+E15</f>
        <v>72715647.97899279</v>
      </c>
      <c r="F16" s="254">
        <f t="shared" si="1"/>
        <v>2677141.4367464744</v>
      </c>
      <c r="G16" s="254">
        <f t="shared" si="1"/>
        <v>28903199.637465902</v>
      </c>
      <c r="H16" s="254">
        <f t="shared" si="1"/>
        <v>0</v>
      </c>
      <c r="I16" s="254">
        <f t="shared" si="1"/>
        <v>36320.188034255923</v>
      </c>
      <c r="J16" s="254">
        <f t="shared" si="1"/>
        <v>720.52845035162136</v>
      </c>
      <c r="K16" s="249">
        <f t="shared" si="1"/>
        <v>104333029.76968977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'WSS-28'!P807</f>
        <v>5.2700803924607353E-2</v>
      </c>
      <c r="E18" s="258">
        <f t="shared" ref="E18:J18" si="2">D18</f>
        <v>5.2700803924607353E-2</v>
      </c>
      <c r="F18" s="259">
        <f t="shared" si="2"/>
        <v>5.2700803924607353E-2</v>
      </c>
      <c r="G18" s="259">
        <f t="shared" si="2"/>
        <v>5.2700803924607353E-2</v>
      </c>
      <c r="H18" s="259">
        <f t="shared" si="2"/>
        <v>5.2700803924607353E-2</v>
      </c>
      <c r="I18" s="259">
        <f t="shared" si="2"/>
        <v>5.2700803924607353E-2</v>
      </c>
      <c r="J18" s="259">
        <f t="shared" si="2"/>
        <v>5.2700803924607353E-2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5498434.5447526425</v>
      </c>
      <c r="E20" s="253">
        <f t="shared" ref="E20:J20" si="3">E18*E16</f>
        <v>3832173.1063916702</v>
      </c>
      <c r="F20" s="254">
        <f t="shared" si="3"/>
        <v>141087.50593641755</v>
      </c>
      <c r="G20" s="254">
        <f t="shared" si="3"/>
        <v>1523221.8568878728</v>
      </c>
      <c r="H20" s="254">
        <f t="shared" si="3"/>
        <v>0</v>
      </c>
      <c r="I20" s="254">
        <f t="shared" si="3"/>
        <v>1914.1031080981916</v>
      </c>
      <c r="J20" s="254">
        <f t="shared" si="3"/>
        <v>37.972428584081982</v>
      </c>
      <c r="K20" s="249">
        <f>SUM(E20:J20)</f>
        <v>5498434.5447526434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'WSS-28'!P708</f>
        <v>2201917.407755428</v>
      </c>
      <c r="E22" s="253">
        <f t="shared" ref="E22:J22" si="4">(E14/$D$14)*$D$22</f>
        <v>1534642.0156167592</v>
      </c>
      <c r="F22" s="254">
        <f t="shared" si="4"/>
        <v>56500.269814918916</v>
      </c>
      <c r="G22" s="254">
        <f t="shared" si="4"/>
        <v>609993.38907395152</v>
      </c>
      <c r="H22" s="254">
        <f t="shared" si="4"/>
        <v>0</v>
      </c>
      <c r="I22" s="254">
        <f t="shared" si="4"/>
        <v>766.52671222255753</v>
      </c>
      <c r="J22" s="254">
        <f t="shared" si="4"/>
        <v>15.206537576014988</v>
      </c>
      <c r="K22" s="249">
        <f>SUM(E22:J22)</f>
        <v>2201917.407755428</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3296517.1369972145</v>
      </c>
      <c r="E24" s="253">
        <f t="shared" ref="E24:J24" si="5">E20-E22</f>
        <v>2297531.090774911</v>
      </c>
      <c r="F24" s="254">
        <f t="shared" si="5"/>
        <v>84587.23612149863</v>
      </c>
      <c r="G24" s="254">
        <f t="shared" si="5"/>
        <v>913228.46781392128</v>
      </c>
      <c r="H24" s="254">
        <f t="shared" si="5"/>
        <v>0</v>
      </c>
      <c r="I24" s="254">
        <f t="shared" si="5"/>
        <v>1147.576395875634</v>
      </c>
      <c r="J24" s="254">
        <f t="shared" si="5"/>
        <v>22.765891008066994</v>
      </c>
      <c r="K24" s="249">
        <f>SUM(E24:J24)</f>
        <v>3296517.1369972145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'WSS-28'!P680+'WSS-28'!P799</f>
        <v>-1348993.9516768274</v>
      </c>
      <c r="E26" s="253">
        <f t="shared" ref="E26:J26" si="6">$D$26*(E24/$K$24)</f>
        <v>-940190.93984386511</v>
      </c>
      <c r="F26" s="254">
        <f t="shared" si="6"/>
        <v>-34614.614508238708</v>
      </c>
      <c r="G26" s="254">
        <f t="shared" si="6"/>
        <v>-373709.47226509656</v>
      </c>
      <c r="H26" s="254">
        <f t="shared" si="6"/>
        <v>0</v>
      </c>
      <c r="I26" s="254">
        <f t="shared" si="6"/>
        <v>-469.60884860846119</v>
      </c>
      <c r="J26" s="254">
        <f t="shared" si="6"/>
        <v>-9.31621101851478</v>
      </c>
      <c r="K26" s="249">
        <f>SUM(E26:J26)</f>
        <v>-1348993.9516768274</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'WSS-28'!P730</f>
        <v>23902042.703641675</v>
      </c>
      <c r="E28" s="253">
        <f>'WSS-28'!P180+'WSS-28'!P181+'WSS-28'!P182</f>
        <v>3256028.3729372453</v>
      </c>
      <c r="F28" s="254">
        <f>'WSS-28'!P183</f>
        <v>18675563.90360396</v>
      </c>
      <c r="G28" s="254">
        <f>'WSS-28'!P192</f>
        <v>1956967.8526247111</v>
      </c>
      <c r="H28" s="254">
        <f>'WSS-28'!P198+'WSS-28'!P202+'WSS-28'!P204+'WSS-28'!P209</f>
        <v>0</v>
      </c>
      <c r="I28" s="254">
        <f>'WSS-28'!P203+'WSS-28'!P205+'WSS-28'!P210+'WSS-28'!P214+'WSS-28'!P217</f>
        <v>9323.8513314205538</v>
      </c>
      <c r="J28" s="254">
        <f>'WSS-28'!P223+'WSS-28'!P226</f>
        <v>4158.7231443401788</v>
      </c>
      <c r="K28" s="249">
        <f>SUM(E28:J28)</f>
        <v>23902042.703641675</v>
      </c>
      <c r="L28" s="250" t="str">
        <f>IF(ABS(K28-D28)&lt;0.01,"ok","err")</f>
        <v>ok</v>
      </c>
      <c r="M28" s="26"/>
      <c r="N28" s="26"/>
    </row>
    <row r="29" spans="1:14" ht="15.3" x14ac:dyDescent="0.55000000000000004">
      <c r="A29" s="282" t="s">
        <v>1803</v>
      </c>
      <c r="B29" s="244" t="s">
        <v>813</v>
      </c>
      <c r="C29" s="245"/>
      <c r="D29" s="253">
        <f>'WSS-28'!P731</f>
        <v>8245202.8211647803</v>
      </c>
      <c r="E29" s="253">
        <f>'WSS-28'!P300</f>
        <v>7055376.9044973953</v>
      </c>
      <c r="F29" s="254">
        <v>0</v>
      </c>
      <c r="G29" s="254">
        <f>'WSS-28'!P306</f>
        <v>1188546.5164390379</v>
      </c>
      <c r="H29" s="254">
        <f>'WSS-28'!P312+'WSS-28'!P316+'WSS-28'!P318+'WSS-28'!P323</f>
        <v>0</v>
      </c>
      <c r="I29" s="254">
        <f>'WSS-28'!P317+'WSS-28'!P319+'WSS-28'!P324+'WSS-28'!P328+'WSS-28'!P331</f>
        <v>1279.400228346798</v>
      </c>
      <c r="J29" s="254">
        <v>0</v>
      </c>
      <c r="K29" s="249">
        <f>SUM(E29:J29)</f>
        <v>8245202.8211647803</v>
      </c>
      <c r="L29" s="250" t="str">
        <f>IF(ABS(K29-D29)&lt;0.01,"ok","err")</f>
        <v>ok</v>
      </c>
      <c r="M29" s="26"/>
      <c r="N29" s="26"/>
    </row>
    <row r="30" spans="1:14" ht="15.3" x14ac:dyDescent="0.55000000000000004">
      <c r="A30" s="282" t="s">
        <v>1804</v>
      </c>
      <c r="B30" s="244" t="s">
        <v>408</v>
      </c>
      <c r="C30" s="245"/>
      <c r="D30" s="253">
        <f>'WSS-28'!P733+'WSS-28'!P734</f>
        <v>995282.13087192969</v>
      </c>
      <c r="E30" s="253">
        <f>'WSS-28'!P414+'WSS-28'!P471+'WSS-28'!P357</f>
        <v>755635.99871901621</v>
      </c>
      <c r="F30" s="254">
        <f>'WSS-28'!P529</f>
        <v>0</v>
      </c>
      <c r="G30" s="254">
        <f>'WSS-28'!P420+'WSS-28'!P477+'WSS-28'!P363</f>
        <v>239328.03658040107</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995282.13087192969</v>
      </c>
      <c r="L30" s="250" t="str">
        <f>IF(ABS(K30-D30)&lt;0.01,"ok","err")</f>
        <v>ok</v>
      </c>
      <c r="M30" s="26"/>
      <c r="N30" s="26"/>
    </row>
    <row r="31" spans="1:14" ht="15.3" x14ac:dyDescent="0.55000000000000004">
      <c r="A31" s="282" t="s">
        <v>1805</v>
      </c>
      <c r="B31" s="244" t="s">
        <v>1841</v>
      </c>
      <c r="C31" s="245"/>
      <c r="D31" s="253">
        <f>'WSS-28'!P738</f>
        <v>455830.93668045604</v>
      </c>
      <c r="E31" s="253">
        <f>D31</f>
        <v>455830.93668045604</v>
      </c>
      <c r="F31" s="254"/>
      <c r="G31" s="254"/>
      <c r="H31" s="254"/>
      <c r="I31" s="254"/>
      <c r="J31" s="254"/>
      <c r="K31" s="249">
        <f>SUM(E31:J31)</f>
        <v>455830.93668045604</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'WSS-28'!P796+'WSS-28'!P797</f>
        <v>18133.06765699236</v>
      </c>
      <c r="E36" s="253">
        <f t="shared" ref="E36:J36" si="9">(E14/($D$14)*$D$36)</f>
        <v>12637.970616167959</v>
      </c>
      <c r="F36" s="254">
        <f t="shared" si="9"/>
        <v>465.28685026229829</v>
      </c>
      <c r="G36" s="254">
        <f t="shared" si="9"/>
        <v>5023.3725186229167</v>
      </c>
      <c r="H36" s="254">
        <f t="shared" si="9"/>
        <v>0</v>
      </c>
      <c r="I36" s="254">
        <f t="shared" si="9"/>
        <v>6.3124441837227145</v>
      </c>
      <c r="J36" s="254">
        <f t="shared" si="9"/>
        <v>0.12522775546588694</v>
      </c>
      <c r="K36" s="249">
        <f t="shared" si="8"/>
        <v>18133.067656992363</v>
      </c>
      <c r="L36" s="250" t="str">
        <f t="shared" si="7"/>
        <v>ok</v>
      </c>
      <c r="M36" s="26"/>
      <c r="N36" s="26"/>
    </row>
    <row r="37" spans="1:14" ht="15.3" x14ac:dyDescent="0.55000000000000004">
      <c r="A37" s="284" t="s">
        <v>1827</v>
      </c>
      <c r="B37" s="244" t="s">
        <v>2266</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-14197360.79834301</v>
      </c>
      <c r="E39" s="253">
        <f t="shared" si="10"/>
        <v>-14202855.895383835</v>
      </c>
      <c r="F39" s="254">
        <f t="shared" si="10"/>
        <v>465.28685026229829</v>
      </c>
      <c r="G39" s="254">
        <f t="shared" si="10"/>
        <v>5023.3725186229167</v>
      </c>
      <c r="H39" s="254">
        <f t="shared" si="10"/>
        <v>0</v>
      </c>
      <c r="I39" s="254">
        <f t="shared" si="10"/>
        <v>6.3124441837227145</v>
      </c>
      <c r="J39" s="254">
        <f t="shared" si="10"/>
        <v>0.12522775546588694</v>
      </c>
      <c r="K39" s="249">
        <f t="shared" si="8"/>
        <v>-14197360.79834301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23550438.387091644</v>
      </c>
      <c r="E41" s="253">
        <f t="shared" ref="E41:J41" si="11">SUM(E28:E31)+E22+E26+E39+E24</f>
        <v>211998.48399808304</v>
      </c>
      <c r="F41" s="254">
        <f t="shared" si="11"/>
        <v>18782502.081882402</v>
      </c>
      <c r="G41" s="254">
        <f t="shared" si="11"/>
        <v>4539378.1627855496</v>
      </c>
      <c r="H41" s="254">
        <f t="shared" si="11"/>
        <v>0</v>
      </c>
      <c r="I41" s="254">
        <f t="shared" si="11"/>
        <v>12372.15383595321</v>
      </c>
      <c r="J41" s="254">
        <f t="shared" si="11"/>
        <v>4187.5045896612119</v>
      </c>
      <c r="K41" s="249">
        <f>SUM(E41:J41)</f>
        <v>23550438.387091648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-'WSS-28'!P659-'WSS-28'!P665</f>
        <v>-34770.684945625289</v>
      </c>
      <c r="E43" s="253">
        <f>D43</f>
        <v>-34770.684945625289</v>
      </c>
      <c r="F43" s="254">
        <v>0</v>
      </c>
      <c r="G43" s="254">
        <v>0</v>
      </c>
      <c r="H43" s="254">
        <v>0</v>
      </c>
      <c r="I43" s="254">
        <v>0</v>
      </c>
      <c r="J43" s="254">
        <v>0</v>
      </c>
      <c r="K43" s="249">
        <f>SUM(E43:J43)</f>
        <v>-34770.684945625289</v>
      </c>
      <c r="L43" s="250" t="str">
        <f>IF(ABS(K43-D43)&lt;0.01,"ok","err")</f>
        <v>ok</v>
      </c>
      <c r="M43" s="26"/>
      <c r="N43" s="26"/>
    </row>
    <row r="44" spans="1:14" ht="15.3" x14ac:dyDescent="0.55000000000000004">
      <c r="A44" s="282" t="s">
        <v>1831</v>
      </c>
      <c r="B44" s="244" t="s">
        <v>1833</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1835</v>
      </c>
      <c r="B45" s="244" t="s">
        <v>2470</v>
      </c>
      <c r="C45" s="245"/>
      <c r="D45" s="253">
        <f>-'WSS-28'!P658</f>
        <v>-899965.67718246102</v>
      </c>
      <c r="E45" s="253">
        <v>0</v>
      </c>
      <c r="F45" s="254">
        <v>0</v>
      </c>
      <c r="G45" s="254">
        <f>D45</f>
        <v>-899965.67718246102</v>
      </c>
      <c r="H45" s="254">
        <v>0</v>
      </c>
      <c r="I45" s="254">
        <v>0</v>
      </c>
      <c r="J45" s="254">
        <v>0</v>
      </c>
      <c r="K45" s="249">
        <f>SUM(E45:J45)</f>
        <v>-899965.67718246102</v>
      </c>
      <c r="L45" s="250" t="str">
        <f>IF(ABS(K45-D45)&lt;0.01,"ok","err")</f>
        <v>ok</v>
      </c>
      <c r="M45" s="26"/>
      <c r="N45" s="26"/>
    </row>
    <row r="46" spans="1:14" ht="15.3" x14ac:dyDescent="0.55000000000000004">
      <c r="A46" s="282" t="s">
        <v>1836</v>
      </c>
      <c r="B46" s="244" t="s">
        <v>1834</v>
      </c>
      <c r="C46" s="245"/>
      <c r="D46" s="253">
        <f>-('WSS-28'!P654+'WSS-28'!P655+'WSS-28'!P656+'WSS-28'!P657+'WSS-28'!P660+'WSS-28'!P662+'WSS-28'!P663+'WSS-28'!P664)</f>
        <v>-59166.76724072783</v>
      </c>
      <c r="E46" s="253">
        <f t="shared" ref="E46:J46" si="12">(E14/($D$14)*$D$46)</f>
        <v>-41236.699712727612</v>
      </c>
      <c r="F46" s="254">
        <f t="shared" si="12"/>
        <v>-1518.1942344446625</v>
      </c>
      <c r="G46" s="254">
        <f t="shared" si="12"/>
        <v>-16390.867678598221</v>
      </c>
      <c r="H46" s="254">
        <f t="shared" si="12"/>
        <v>0</v>
      </c>
      <c r="I46" s="254">
        <f t="shared" si="12"/>
        <v>-20.597006684326043</v>
      </c>
      <c r="J46" s="254">
        <f t="shared" si="12"/>
        <v>-0.40860827301175251</v>
      </c>
      <c r="K46" s="249">
        <f>SUM(E46:J46)</f>
        <v>-59166.767240727837</v>
      </c>
      <c r="L46" s="250" t="str">
        <f>IF(ABS(K46-D46)&lt;0.01,"ok","err")</f>
        <v>ok</v>
      </c>
      <c r="M46" s="26"/>
      <c r="N46" s="26"/>
    </row>
    <row r="47" spans="1:14" ht="15.3" x14ac:dyDescent="0.55000000000000004">
      <c r="A47" s="282" t="s">
        <v>1842</v>
      </c>
      <c r="B47" s="244" t="s">
        <v>1837</v>
      </c>
      <c r="C47" s="245"/>
      <c r="D47" s="253">
        <f>SUM(D43:D46)</f>
        <v>-1291915.0588396566</v>
      </c>
      <c r="E47" s="253">
        <f t="shared" ref="E47:J47" si="13">SUM(E43:E46)</f>
        <v>-76007.384658352908</v>
      </c>
      <c r="F47" s="254">
        <f t="shared" si="13"/>
        <v>-299530.12370528723</v>
      </c>
      <c r="G47" s="254">
        <f t="shared" si="13"/>
        <v>-916356.54486105929</v>
      </c>
      <c r="H47" s="254">
        <f t="shared" si="13"/>
        <v>0</v>
      </c>
      <c r="I47" s="254">
        <f t="shared" si="13"/>
        <v>-20.597006684326043</v>
      </c>
      <c r="J47" s="254">
        <f t="shared" si="13"/>
        <v>-0.40860827301175251</v>
      </c>
      <c r="K47" s="249">
        <f>SUM(E47:J47)</f>
        <v>-1291915.0588396569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22258523.328251988</v>
      </c>
      <c r="E49" s="253">
        <f t="shared" ref="E49:J49" si="14">E41+E47</f>
        <v>135991.09933973014</v>
      </c>
      <c r="F49" s="254">
        <f t="shared" si="14"/>
        <v>18482971.958177116</v>
      </c>
      <c r="G49" s="254">
        <f t="shared" si="14"/>
        <v>3623021.6179244905</v>
      </c>
      <c r="H49" s="254">
        <f t="shared" si="14"/>
        <v>0</v>
      </c>
      <c r="I49" s="254">
        <f t="shared" si="14"/>
        <v>12351.556829268884</v>
      </c>
      <c r="J49" s="254">
        <f t="shared" si="14"/>
        <v>4187.0959813882</v>
      </c>
      <c r="K49" s="249">
        <f>SUM(E49:J49)</f>
        <v>22258523.328251995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1647006</v>
      </c>
      <c r="F51" s="252">
        <f>'Billing Det'!$C$26</f>
        <v>605890405</v>
      </c>
      <c r="G51" s="252">
        <v>2437966</v>
      </c>
      <c r="H51" s="265">
        <f>G51</f>
        <v>2437966</v>
      </c>
      <c r="I51" s="265">
        <f>'WSS-28'!P830</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450">
        <f t="shared" ref="E53:J53" si="15">E49/E51</f>
        <v>8.2568672694410428E-2</v>
      </c>
      <c r="F53" s="270">
        <f t="shared" si="15"/>
        <v>3.0505470635695437E-2</v>
      </c>
      <c r="G53" s="447">
        <f t="shared" si="15"/>
        <v>1.4860837345248008</v>
      </c>
      <c r="H53" s="270">
        <f t="shared" si="15"/>
        <v>0</v>
      </c>
      <c r="I53" s="271">
        <f>I49/I51</f>
        <v>1029.2964024390737</v>
      </c>
      <c r="J53" s="271">
        <f t="shared" si="15"/>
        <v>348.92466511568335</v>
      </c>
      <c r="K53" s="272">
        <f>I53+J53</f>
        <v>1378.2210675547572</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1378.2210675547572</v>
      </c>
      <c r="L55" s="291">
        <f>ROUND(K55/30.5,2)</f>
        <v>45.19</v>
      </c>
      <c r="M55" s="26"/>
      <c r="N55" s="26"/>
    </row>
    <row r="56" spans="1:14" ht="15.3" x14ac:dyDescent="0.55000000000000004">
      <c r="A56" s="26"/>
      <c r="B56" s="26"/>
      <c r="C56" s="26"/>
      <c r="D56" s="290"/>
      <c r="E56" s="26"/>
      <c r="F56" s="26"/>
      <c r="G56" s="26"/>
      <c r="H56" s="26"/>
      <c r="I56" s="26"/>
      <c r="J56" s="26" t="s">
        <v>2267</v>
      </c>
      <c r="K56" s="279">
        <f>E53+G53+H53</f>
        <v>1.5686524072192112</v>
      </c>
      <c r="L56" s="26"/>
      <c r="M56" s="26"/>
      <c r="N56" s="26"/>
    </row>
    <row r="57" spans="1:14" ht="15.3" x14ac:dyDescent="0.55000000000000004">
      <c r="A57" s="26"/>
      <c r="B57" s="26"/>
      <c r="C57" s="26"/>
      <c r="D57" s="279"/>
      <c r="E57" s="26"/>
      <c r="F57" s="26"/>
      <c r="G57" s="26"/>
      <c r="H57" s="26"/>
      <c r="I57" s="26"/>
      <c r="J57" s="26" t="s">
        <v>2272</v>
      </c>
      <c r="K57" s="289">
        <f>F53</f>
        <v>3.0505470635695437E-2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1361</v>
      </c>
    </row>
    <row r="2" spans="1:21" ht="15.3" x14ac:dyDescent="0.55000000000000004">
      <c r="A2" s="26" t="s">
        <v>896</v>
      </c>
    </row>
    <row r="3" spans="1:21" ht="15.3" x14ac:dyDescent="0.55000000000000004">
      <c r="A3" s="26" t="s">
        <v>2094</v>
      </c>
    </row>
    <row r="4" spans="1:21" ht="15.3" x14ac:dyDescent="0.55000000000000004">
      <c r="A4" s="33"/>
    </row>
    <row r="5" spans="1:21" x14ac:dyDescent="0.5">
      <c r="C5" s="62" t="s">
        <v>2491</v>
      </c>
      <c r="D5" s="62" t="s">
        <v>2492</v>
      </c>
      <c r="E5" s="62" t="s">
        <v>2493</v>
      </c>
      <c r="F5" s="62" t="s">
        <v>2494</v>
      </c>
      <c r="G5" s="45"/>
    </row>
    <row r="6" spans="1:21" x14ac:dyDescent="0.5">
      <c r="C6" s="62" t="s">
        <v>2091</v>
      </c>
      <c r="D6" s="62" t="s">
        <v>2091</v>
      </c>
      <c r="E6" s="62" t="s">
        <v>2169</v>
      </c>
      <c r="F6" s="62" t="s">
        <v>2169</v>
      </c>
      <c r="G6" s="62" t="s">
        <v>62</v>
      </c>
      <c r="H6" s="116"/>
    </row>
    <row r="7" spans="1:21" x14ac:dyDescent="0.5">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4.4" thickBot="1" x14ac:dyDescent="0.55000000000000004">
      <c r="A8" s="19" t="s">
        <v>1363</v>
      </c>
      <c r="B8" s="19"/>
      <c r="C8" s="47" t="s">
        <v>507</v>
      </c>
      <c r="D8" s="47" t="s">
        <v>507</v>
      </c>
      <c r="E8" s="47" t="s">
        <v>506</v>
      </c>
      <c r="F8" s="47" t="s">
        <v>506</v>
      </c>
      <c r="G8" s="47" t="s">
        <v>507</v>
      </c>
      <c r="H8" s="73" t="s">
        <v>2093</v>
      </c>
      <c r="I8" s="111"/>
      <c r="J8" s="111"/>
      <c r="K8" s="111"/>
      <c r="L8" s="42"/>
      <c r="M8" s="25"/>
      <c r="N8" s="119"/>
      <c r="O8" s="119"/>
      <c r="P8" s="526"/>
      <c r="Q8" s="526"/>
      <c r="R8" s="119"/>
      <c r="S8" s="120"/>
      <c r="T8" s="119"/>
      <c r="U8" s="45"/>
    </row>
    <row r="9" spans="1:21" x14ac:dyDescent="0.5">
      <c r="I9" s="25"/>
      <c r="J9" s="25"/>
      <c r="K9" s="25"/>
      <c r="L9" s="25"/>
      <c r="M9" s="25"/>
      <c r="N9" s="119"/>
      <c r="O9" s="119"/>
      <c r="P9" s="52"/>
      <c r="Q9" s="52"/>
      <c r="R9" s="118"/>
      <c r="S9" s="52"/>
      <c r="T9" s="118"/>
      <c r="U9" s="45"/>
    </row>
    <row r="10" spans="1:21" x14ac:dyDescent="0.5">
      <c r="A10" s="7" t="s">
        <v>1483</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2572</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2164</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2165</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2166</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2167</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2088</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2089</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2090</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2168</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1795</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2087</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2103</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2104</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2105</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2348</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2349</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2553</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2095</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1361</v>
      </c>
      <c r="B1"/>
      <c r="C1"/>
      <c r="D1" s="40"/>
      <c r="E1" s="117"/>
      <c r="F1"/>
    </row>
    <row r="2" spans="1:22" ht="15.3" x14ac:dyDescent="0.55000000000000004">
      <c r="A2" s="26" t="s">
        <v>1362</v>
      </c>
      <c r="B2"/>
      <c r="C2"/>
      <c r="D2" s="40"/>
      <c r="E2" s="117"/>
      <c r="F2"/>
    </row>
    <row r="3" spans="1:22" ht="15.3" x14ac:dyDescent="0.55000000000000004">
      <c r="A3" s="26" t="s">
        <v>2096</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2097</v>
      </c>
      <c r="D6" s="62" t="s">
        <v>2169</v>
      </c>
      <c r="E6" s="61" t="s">
        <v>62</v>
      </c>
      <c r="F6" s="116"/>
      <c r="J6" s="44" t="s">
        <v>653</v>
      </c>
      <c r="N6" s="52"/>
      <c r="O6" s="120"/>
      <c r="P6" s="526"/>
      <c r="Q6" s="526"/>
      <c r="R6" s="119"/>
      <c r="S6" s="120"/>
      <c r="T6" s="119"/>
    </row>
    <row r="7" spans="1:22" ht="14.1" x14ac:dyDescent="0.5">
      <c r="A7"/>
      <c r="B7"/>
      <c r="C7" s="46" t="s">
        <v>2092</v>
      </c>
      <c r="D7" s="46" t="s">
        <v>818</v>
      </c>
      <c r="E7" s="61" t="s">
        <v>2097</v>
      </c>
      <c r="F7" s="61" t="s">
        <v>384</v>
      </c>
      <c r="J7" s="70" t="s">
        <v>654</v>
      </c>
      <c r="K7" s="65" t="s">
        <v>388</v>
      </c>
      <c r="L7" s="65"/>
      <c r="M7" s="65"/>
      <c r="N7" s="52"/>
      <c r="O7" s="119"/>
      <c r="P7" s="52"/>
      <c r="Q7" s="52"/>
      <c r="R7" s="119"/>
      <c r="S7" s="52"/>
      <c r="T7" s="118"/>
    </row>
    <row r="8" spans="1:22" ht="14.4" thickBot="1" x14ac:dyDescent="0.55000000000000004">
      <c r="A8" s="19" t="s">
        <v>1363</v>
      </c>
      <c r="B8" s="19"/>
      <c r="C8" s="47" t="s">
        <v>507</v>
      </c>
      <c r="D8" s="47" t="s">
        <v>506</v>
      </c>
      <c r="E8" s="73" t="s">
        <v>507</v>
      </c>
      <c r="F8" s="73" t="s">
        <v>2093</v>
      </c>
      <c r="J8" s="66" t="s">
        <v>655</v>
      </c>
      <c r="K8" s="67" t="s">
        <v>841</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1483</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2568</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2495</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2184</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2088</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2089</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2090</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2168</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1795</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2087</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2103</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2104</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2105</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2095</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651</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652</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819</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820</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822</v>
      </c>
      <c r="J67" s="50">
        <v>0</v>
      </c>
      <c r="K67" s="69">
        <f>J67/$J$70</f>
        <v>0</v>
      </c>
      <c r="L67" s="69"/>
      <c r="M67" s="69"/>
    </row>
    <row r="68" spans="1:14" ht="13.8" x14ac:dyDescent="0.45">
      <c r="I68" s="7"/>
      <c r="J68" s="72"/>
    </row>
    <row r="69" spans="1:14" ht="13.8" x14ac:dyDescent="0.45">
      <c r="I69" s="20" t="s">
        <v>821</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516" activePane="bottomLeft" state="frozen"/>
      <selection activeCell="E1" sqref="E1"/>
      <selection pane="bottomLeft" activeCell="V564" sqref="V56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3" t="s">
        <v>1625</v>
      </c>
      <c r="I2" s="514"/>
      <c r="J2" s="515"/>
      <c r="K2" s="307" t="s">
        <v>1626</v>
      </c>
      <c r="L2" s="305"/>
      <c r="M2" s="306"/>
      <c r="N2" s="75"/>
      <c r="O2" s="77" t="s">
        <v>934</v>
      </c>
      <c r="P2" s="287"/>
      <c r="Q2" s="287"/>
      <c r="R2" s="76"/>
      <c r="S2" s="77" t="s">
        <v>1628</v>
      </c>
      <c r="T2" s="77" t="s">
        <v>1629</v>
      </c>
      <c r="U2" s="516" t="s">
        <v>130</v>
      </c>
      <c r="V2" s="517"/>
      <c r="W2" s="518"/>
      <c r="X2" s="511" t="s">
        <v>129</v>
      </c>
      <c r="Y2" s="512"/>
      <c r="Z2" s="511" t="s">
        <v>131</v>
      </c>
      <c r="AA2" s="512"/>
      <c r="AB2" s="77" t="s">
        <v>128</v>
      </c>
      <c r="AC2" s="77" t="s">
        <v>127</v>
      </c>
      <c r="AD2" s="77" t="s">
        <v>1632</v>
      </c>
      <c r="AE2" s="78"/>
      <c r="AF2" s="77" t="s">
        <v>292</v>
      </c>
      <c r="AG2" s="27"/>
      <c r="AH2" s="77" t="s">
        <v>1631</v>
      </c>
      <c r="AI2" s="27"/>
      <c r="AJ2" s="77" t="s">
        <v>1630</v>
      </c>
      <c r="AK2" s="23"/>
      <c r="AL2" s="23"/>
    </row>
    <row r="3" spans="1:38" ht="14.4" thickBot="1" x14ac:dyDescent="0.55000000000000004">
      <c r="A3" s="28" t="s">
        <v>99</v>
      </c>
      <c r="B3" s="28"/>
      <c r="C3" s="30" t="s">
        <v>100</v>
      </c>
      <c r="D3" s="30" t="s">
        <v>101</v>
      </c>
      <c r="E3" s="21"/>
      <c r="F3" s="21" t="s">
        <v>102</v>
      </c>
      <c r="G3" s="79"/>
      <c r="H3" s="170" t="s">
        <v>2273</v>
      </c>
      <c r="I3" s="170" t="s">
        <v>2183</v>
      </c>
      <c r="J3" s="170" t="s">
        <v>2183</v>
      </c>
      <c r="K3" s="170" t="s">
        <v>104</v>
      </c>
      <c r="L3" s="170" t="s">
        <v>2183</v>
      </c>
      <c r="M3" s="170" t="s">
        <v>2183</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1473</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1578</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1476</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1581</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1582</v>
      </c>
      <c r="C30" s="86" t="s">
        <v>1296</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1583</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1584</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1585</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1586</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1587</v>
      </c>
      <c r="C39" s="86" t="s">
        <v>1621</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1590</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1591</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1481</v>
      </c>
      <c r="C59" s="86" t="s">
        <v>1482</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2218</v>
      </c>
      <c r="C60" s="86" t="s">
        <v>503</v>
      </c>
      <c r="D60" s="371"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2219</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2326</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1297</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1599</v>
      </c>
      <c r="C71" s="86" t="s">
        <v>1037</v>
      </c>
      <c r="D71" s="371"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1298</v>
      </c>
      <c r="C72" s="86" t="s">
        <v>1038</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1303</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1302</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1304</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1594</v>
      </c>
      <c r="C99" s="86" t="s">
        <v>472</v>
      </c>
      <c r="D99" s="371"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1593</v>
      </c>
      <c r="C100" s="86" t="s">
        <v>473</v>
      </c>
      <c r="D100" s="371"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1592</v>
      </c>
      <c r="D101" s="371"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1595</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1596</v>
      </c>
      <c r="C103" s="86" t="s">
        <v>1299</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2327</v>
      </c>
      <c r="C104" s="86" t="s">
        <v>2328</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1598</v>
      </c>
      <c r="C105" s="86" t="s">
        <v>1300</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1301</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1597</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768</v>
      </c>
      <c r="D113" s="50"/>
      <c r="E113" s="50"/>
      <c r="Y113" s="86"/>
      <c r="AL113" s="87"/>
    </row>
    <row r="114" spans="1:39" x14ac:dyDescent="0.5">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2329</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960</v>
      </c>
      <c r="D122" s="348"/>
      <c r="E122" s="50"/>
      <c r="Y122" s="86"/>
      <c r="AL122" s="87"/>
    </row>
    <row r="123" spans="1:39" x14ac:dyDescent="0.5">
      <c r="A123" s="86" t="s">
        <v>504</v>
      </c>
      <c r="C123" s="86" t="s">
        <v>505</v>
      </c>
      <c r="D123" s="348"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684</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685</v>
      </c>
      <c r="C125" s="86" t="s">
        <v>1762</v>
      </c>
      <c r="D125" s="348"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686</v>
      </c>
      <c r="C126" s="86" t="s">
        <v>1763</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687</v>
      </c>
      <c r="C127" s="86" t="s">
        <v>682</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688</v>
      </c>
      <c r="C128" s="86" t="s">
        <v>683</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690</v>
      </c>
      <c r="C130" s="86" t="s">
        <v>689</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698</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699</v>
      </c>
      <c r="C133" s="86" t="s">
        <v>691</v>
      </c>
      <c r="D133" s="348"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700</v>
      </c>
      <c r="C134" s="86" t="s">
        <v>696</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701</v>
      </c>
      <c r="C135" s="86" t="s">
        <v>697</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702</v>
      </c>
      <c r="C136" s="86" t="s">
        <v>695</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704</v>
      </c>
      <c r="C137" s="86" t="s">
        <v>694</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693</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703</v>
      </c>
      <c r="C140" s="86" t="s">
        <v>692</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1245</v>
      </c>
      <c r="C143" s="86" t="s">
        <v>776</v>
      </c>
      <c r="D143" s="348"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1787</v>
      </c>
      <c r="D144" s="348"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777</v>
      </c>
      <c r="C146" s="86" t="s">
        <v>778</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769</v>
      </c>
      <c r="D149" s="348"/>
      <c r="E149" s="50"/>
      <c r="Y149" s="86"/>
      <c r="AL149" s="87"/>
    </row>
    <row r="150" spans="1:39" x14ac:dyDescent="0.5">
      <c r="A150" s="22"/>
      <c r="D150" s="348"/>
      <c r="E150" s="50"/>
      <c r="Y150" s="86"/>
      <c r="AL150" s="87"/>
    </row>
    <row r="151" spans="1:39" x14ac:dyDescent="0.5">
      <c r="A151" s="23" t="s">
        <v>1496</v>
      </c>
      <c r="D151" s="348"/>
      <c r="E151" s="50"/>
      <c r="Y151" s="86"/>
      <c r="AL151" s="87"/>
    </row>
    <row r="152" spans="1:39" x14ac:dyDescent="0.5">
      <c r="A152" s="86">
        <v>500</v>
      </c>
      <c r="B152" s="86" t="s">
        <v>1488</v>
      </c>
      <c r="C152" s="86" t="s">
        <v>1489</v>
      </c>
      <c r="D152" s="348"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1490</v>
      </c>
      <c r="C153" s="86" t="s">
        <v>1491</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1492</v>
      </c>
      <c r="C154" s="86" t="s">
        <v>1493</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1494</v>
      </c>
      <c r="C155" s="86" t="s">
        <v>1495</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1497</v>
      </c>
      <c r="C156" s="86" t="s">
        <v>1498</v>
      </c>
      <c r="D156" s="348"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1623</v>
      </c>
      <c r="D157" s="348"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2221</v>
      </c>
      <c r="C158" s="86" t="s">
        <v>2220</v>
      </c>
      <c r="D158" s="348"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1499</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1500</v>
      </c>
      <c r="D162" s="348"/>
      <c r="E162" s="50"/>
      <c r="F162" s="89"/>
      <c r="Y162" s="86"/>
      <c r="AL162" s="87"/>
    </row>
    <row r="163" spans="1:38" x14ac:dyDescent="0.5">
      <c r="A163" s="86">
        <v>510</v>
      </c>
      <c r="B163" s="86" t="s">
        <v>561</v>
      </c>
      <c r="C163" s="86" t="s">
        <v>1501</v>
      </c>
      <c r="D163" s="348"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560</v>
      </c>
      <c r="C164" s="86" t="s">
        <v>1502</v>
      </c>
      <c r="D164" s="348"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1503</v>
      </c>
      <c r="C165" s="86" t="s">
        <v>1505</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1509</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1510</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1600</v>
      </c>
      <c r="D173" s="371"/>
      <c r="E173" s="71"/>
      <c r="Y173" s="86"/>
      <c r="AL173" s="87"/>
    </row>
    <row r="174" spans="1:38" x14ac:dyDescent="0.5">
      <c r="A174" s="101">
        <v>535</v>
      </c>
      <c r="B174" s="86" t="s">
        <v>1488</v>
      </c>
      <c r="C174" s="86" t="s">
        <v>1609</v>
      </c>
      <c r="D174" s="371"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1607</v>
      </c>
      <c r="C175" s="86" t="s">
        <v>1610</v>
      </c>
      <c r="D175" s="348"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1606</v>
      </c>
      <c r="C176" s="86" t="s">
        <v>1611</v>
      </c>
      <c r="D176" s="348"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1494</v>
      </c>
      <c r="C177" s="86" t="s">
        <v>1612</v>
      </c>
      <c r="D177" s="348"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650</v>
      </c>
      <c r="C178" s="86" t="s">
        <v>1613</v>
      </c>
      <c r="D178" s="348"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1603</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1601</v>
      </c>
      <c r="D183" s="348"/>
      <c r="E183" s="50"/>
      <c r="F183" s="89"/>
      <c r="Y183" s="86"/>
      <c r="AL183" s="87"/>
    </row>
    <row r="184" spans="1:38" x14ac:dyDescent="0.5">
      <c r="A184" s="101">
        <v>541</v>
      </c>
      <c r="B184" s="86" t="s">
        <v>561</v>
      </c>
      <c r="C184" s="86" t="s">
        <v>1614</v>
      </c>
      <c r="D184" s="348"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560</v>
      </c>
      <c r="C185" s="86" t="s">
        <v>1615</v>
      </c>
      <c r="D185" s="348"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1602</v>
      </c>
      <c r="C186" s="86" t="s">
        <v>1616</v>
      </c>
      <c r="D186" s="348"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1504</v>
      </c>
      <c r="C187" s="86" t="s">
        <v>1617</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1608</v>
      </c>
      <c r="C188" s="86" t="s">
        <v>1618</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1605</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1604</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1511</v>
      </c>
      <c r="D196" s="348"/>
      <c r="E196" s="50"/>
      <c r="F196" s="89"/>
      <c r="Y196" s="86"/>
      <c r="AL196" s="87"/>
    </row>
    <row r="197" spans="1:38" x14ac:dyDescent="0.5">
      <c r="A197" s="86">
        <v>546</v>
      </c>
      <c r="B197" s="86" t="s">
        <v>1488</v>
      </c>
      <c r="C197" s="86" t="s">
        <v>1512</v>
      </c>
      <c r="D197" s="348"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1490</v>
      </c>
      <c r="C198" s="86" t="s">
        <v>1513</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1514</v>
      </c>
      <c r="C199" s="86" t="s">
        <v>1515</v>
      </c>
      <c r="D199" s="348"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1516</v>
      </c>
      <c r="C200" s="86" t="s">
        <v>1517</v>
      </c>
      <c r="D200" s="348"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1518</v>
      </c>
      <c r="D201" s="348"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1519</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1520</v>
      </c>
      <c r="D205" s="348"/>
      <c r="E205" s="50"/>
      <c r="F205" s="89"/>
      <c r="Y205" s="86"/>
      <c r="AL205" s="87"/>
    </row>
    <row r="206" spans="1:38" x14ac:dyDescent="0.5">
      <c r="A206" s="86">
        <v>551</v>
      </c>
      <c r="B206" s="86" t="s">
        <v>561</v>
      </c>
      <c r="C206" s="86" t="s">
        <v>1521</v>
      </c>
      <c r="D206" s="348"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560</v>
      </c>
      <c r="C207" s="86" t="s">
        <v>1522</v>
      </c>
      <c r="D207" s="348"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1523</v>
      </c>
      <c r="C208" s="86" t="s">
        <v>1524</v>
      </c>
      <c r="D208" s="348"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1525</v>
      </c>
      <c r="C209" s="86" t="s">
        <v>1526</v>
      </c>
      <c r="D209" s="348"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1529</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1530</v>
      </c>
      <c r="D217" s="348"/>
      <c r="E217" s="50"/>
      <c r="Y217" s="86"/>
      <c r="AL217" s="87"/>
    </row>
    <row r="218" spans="1:38" x14ac:dyDescent="0.5">
      <c r="A218" s="86">
        <v>555</v>
      </c>
      <c r="B218" s="86" t="s">
        <v>459</v>
      </c>
      <c r="C218" s="86" t="s">
        <v>476</v>
      </c>
      <c r="D218" s="348"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1531</v>
      </c>
      <c r="C219" s="86" t="s">
        <v>1532</v>
      </c>
      <c r="D219" s="348"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1533</v>
      </c>
      <c r="C220" s="86" t="s">
        <v>1534</v>
      </c>
      <c r="D220" s="348"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1535</v>
      </c>
      <c r="C221" s="86" t="s">
        <v>1536</v>
      </c>
      <c r="D221" s="348"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1537</v>
      </c>
      <c r="C222" s="86" t="s">
        <v>1538</v>
      </c>
      <c r="D222" s="348"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781</v>
      </c>
      <c r="D249" s="50"/>
      <c r="E249" s="50"/>
      <c r="Y249" s="86"/>
      <c r="AL249" s="87"/>
    </row>
    <row r="250" spans="1:39" x14ac:dyDescent="0.5">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933</v>
      </c>
      <c r="C260" s="86" t="s">
        <v>1034</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1543</v>
      </c>
      <c r="C269" s="86" t="s">
        <v>1549</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1553</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1307</v>
      </c>
      <c r="C289" s="86" t="s">
        <v>298</v>
      </c>
      <c r="D289" s="322"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1308</v>
      </c>
      <c r="C291" s="86" t="s">
        <v>298</v>
      </c>
      <c r="D291" s="322"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1177</v>
      </c>
      <c r="C297" s="86" t="s">
        <v>1178</v>
      </c>
      <c r="D297" s="322"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880</v>
      </c>
      <c r="C298" s="86" t="s">
        <v>1310</v>
      </c>
      <c r="D298" s="322"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1179</v>
      </c>
      <c r="C299" s="86" t="s">
        <v>1180</v>
      </c>
      <c r="D299" s="322"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1311</v>
      </c>
      <c r="C300" s="86" t="s">
        <v>1312</v>
      </c>
      <c r="D300" s="322"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1181</v>
      </c>
      <c r="C301" s="86" t="s">
        <v>1182</v>
      </c>
      <c r="D301" s="322"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844</v>
      </c>
      <c r="C302" s="86" t="s">
        <v>930</v>
      </c>
      <c r="D302" s="322"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844</v>
      </c>
      <c r="C303" s="86" t="s">
        <v>845</v>
      </c>
      <c r="D303" s="322"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853</v>
      </c>
      <c r="C304" s="86" t="s">
        <v>502</v>
      </c>
      <c r="D304" s="322"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854</v>
      </c>
      <c r="C305" s="86" t="s">
        <v>855</v>
      </c>
      <c r="D305" s="322"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1183</v>
      </c>
      <c r="C307" s="86" t="s">
        <v>1184</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1554</v>
      </c>
      <c r="C309" s="86" t="s">
        <v>1292</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1185</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1186</v>
      </c>
      <c r="C318" s="86" t="s">
        <v>1187</v>
      </c>
      <c r="D318" s="322"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1188</v>
      </c>
      <c r="C319" s="86" t="s">
        <v>1189</v>
      </c>
      <c r="D319" s="322"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1555</v>
      </c>
      <c r="C320" s="86" t="s">
        <v>1556</v>
      </c>
      <c r="D320" s="322"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1190</v>
      </c>
      <c r="C321" s="86" t="s">
        <v>1191</v>
      </c>
      <c r="D321" s="322"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1192</v>
      </c>
      <c r="C322" s="86" t="s">
        <v>1193</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1168</v>
      </c>
      <c r="C323" s="86" t="s">
        <v>1169</v>
      </c>
      <c r="D323" s="322"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1170</v>
      </c>
      <c r="C324" s="86" t="s">
        <v>250</v>
      </c>
      <c r="D324" s="322"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550</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1557</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809</v>
      </c>
      <c r="C333" s="86" t="s">
        <v>810</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811</v>
      </c>
      <c r="D337" s="322"/>
      <c r="E337" s="45"/>
      <c r="Y337" s="86"/>
      <c r="AL337" s="87"/>
    </row>
    <row r="338" spans="1:38" x14ac:dyDescent="0.5">
      <c r="A338" s="22"/>
      <c r="D338" s="322"/>
      <c r="E338" s="45"/>
      <c r="Y338" s="86"/>
      <c r="AL338" s="87"/>
    </row>
    <row r="339" spans="1:38" x14ac:dyDescent="0.5">
      <c r="A339" s="23" t="s">
        <v>1496</v>
      </c>
      <c r="D339" s="322"/>
      <c r="E339" s="45"/>
      <c r="Y339" s="86"/>
      <c r="AL339" s="87"/>
    </row>
    <row r="340" spans="1:38" x14ac:dyDescent="0.5">
      <c r="A340" s="86">
        <v>500</v>
      </c>
      <c r="B340" s="86" t="s">
        <v>1488</v>
      </c>
      <c r="C340" s="86" t="s">
        <v>1558</v>
      </c>
      <c r="D340" s="322"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1490</v>
      </c>
      <c r="C341" s="86" t="s">
        <v>1559</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1500</v>
      </c>
      <c r="D349" s="45"/>
      <c r="E349" s="45"/>
      <c r="F349" s="89"/>
      <c r="Y349" s="86"/>
      <c r="AK349" s="90"/>
      <c r="AL349" s="87"/>
    </row>
    <row r="350" spans="1:38" x14ac:dyDescent="0.5">
      <c r="A350" s="86">
        <v>510</v>
      </c>
      <c r="B350" s="86" t="s">
        <v>561</v>
      </c>
      <c r="C350" s="86" t="s">
        <v>1563</v>
      </c>
      <c r="D350" s="322"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560</v>
      </c>
      <c r="C351" s="86" t="s">
        <v>1564</v>
      </c>
      <c r="D351" s="322"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1503</v>
      </c>
      <c r="C352" s="86" t="s">
        <v>1565</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1504</v>
      </c>
      <c r="C353" s="86" t="s">
        <v>1566</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1507</v>
      </c>
      <c r="C354" s="86" t="s">
        <v>1567</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1509</v>
      </c>
      <c r="C356" s="86" t="s">
        <v>1004</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1510</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1600</v>
      </c>
      <c r="D360" s="322"/>
      <c r="E360" s="45"/>
      <c r="Y360" s="86"/>
      <c r="AL360" s="87"/>
    </row>
    <row r="361" spans="1:38" x14ac:dyDescent="0.5">
      <c r="A361" s="101">
        <v>535</v>
      </c>
      <c r="B361" s="86" t="s">
        <v>1488</v>
      </c>
      <c r="C361" s="86" t="s">
        <v>1747</v>
      </c>
      <c r="D361" s="322"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1607</v>
      </c>
      <c r="C362" s="86" t="s">
        <v>1748</v>
      </c>
      <c r="D362" s="322"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1606</v>
      </c>
      <c r="C363" s="86" t="s">
        <v>1749</v>
      </c>
      <c r="D363" s="322"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1494</v>
      </c>
      <c r="C364" s="86" t="s">
        <v>1750</v>
      </c>
      <c r="D364" s="322"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650</v>
      </c>
      <c r="C365" s="86" t="s">
        <v>1751</v>
      </c>
      <c r="D365" s="322"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1752</v>
      </c>
      <c r="D366" s="322"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1603</v>
      </c>
      <c r="C368" s="86" t="s">
        <v>711</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1601</v>
      </c>
      <c r="D370" s="322"/>
      <c r="E370" s="45"/>
      <c r="F370" s="89"/>
      <c r="Y370" s="86"/>
      <c r="AL370" s="87"/>
    </row>
    <row r="371" spans="1:38" x14ac:dyDescent="0.5">
      <c r="A371" s="101">
        <v>541</v>
      </c>
      <c r="B371" s="86" t="s">
        <v>561</v>
      </c>
      <c r="C371" s="86" t="s">
        <v>1753</v>
      </c>
      <c r="D371" s="322"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560</v>
      </c>
      <c r="C372" s="86" t="s">
        <v>1754</v>
      </c>
      <c r="D372" s="322"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1602</v>
      </c>
      <c r="C373" s="86" t="s">
        <v>1755</v>
      </c>
      <c r="D373" s="322"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1504</v>
      </c>
      <c r="C374" s="86" t="s">
        <v>1756</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1608</v>
      </c>
      <c r="C375" s="86" t="s">
        <v>1757</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1605</v>
      </c>
      <c r="C377" s="86" t="s">
        <v>712</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1604</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961</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1511</v>
      </c>
      <c r="D383" s="322"/>
      <c r="E383" s="45"/>
      <c r="F383" s="89"/>
      <c r="Y383" s="86"/>
      <c r="AK383" s="90"/>
      <c r="AL383" s="87"/>
    </row>
    <row r="384" spans="1:38" x14ac:dyDescent="0.5">
      <c r="A384" s="86">
        <v>546</v>
      </c>
      <c r="B384" s="86" t="s">
        <v>1488</v>
      </c>
      <c r="C384" s="86" t="s">
        <v>1568</v>
      </c>
      <c r="D384" s="322"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1490</v>
      </c>
      <c r="C385" s="86" t="s">
        <v>1569</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1514</v>
      </c>
      <c r="C386" s="86" t="s">
        <v>1570</v>
      </c>
      <c r="D386" s="322"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1516</v>
      </c>
      <c r="C387" s="86" t="s">
        <v>1571</v>
      </c>
      <c r="D387" s="322"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1572</v>
      </c>
      <c r="D388" s="322"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1519</v>
      </c>
      <c r="C390" s="86" t="s">
        <v>713</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1520</v>
      </c>
      <c r="D392" s="322"/>
      <c r="E392" s="45"/>
      <c r="F392" s="89"/>
      <c r="Y392" s="86"/>
      <c r="AK392" s="90"/>
      <c r="AL392" s="87"/>
    </row>
    <row r="393" spans="1:38" x14ac:dyDescent="0.5">
      <c r="A393" s="86">
        <v>551</v>
      </c>
      <c r="B393" s="86" t="s">
        <v>561</v>
      </c>
      <c r="C393" s="86" t="s">
        <v>1573</v>
      </c>
      <c r="D393" s="322"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560</v>
      </c>
      <c r="C394" s="86" t="s">
        <v>1574</v>
      </c>
      <c r="D394" s="322"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1523</v>
      </c>
      <c r="C395" s="86" t="s">
        <v>1575</v>
      </c>
      <c r="D395" s="322"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1525</v>
      </c>
      <c r="C396" s="86" t="s">
        <v>1576</v>
      </c>
      <c r="D396" s="322"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1527</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1620</v>
      </c>
      <c r="C402" s="86" t="s">
        <v>1622</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779</v>
      </c>
      <c r="D404" s="322"/>
      <c r="E404" s="45"/>
      <c r="Y404" s="86"/>
      <c r="AL404" s="87"/>
    </row>
    <row r="405" spans="1:38" x14ac:dyDescent="0.5">
      <c r="A405" s="86">
        <v>555</v>
      </c>
      <c r="B405" s="86" t="s">
        <v>459</v>
      </c>
      <c r="C405" s="86" t="s">
        <v>1018</v>
      </c>
      <c r="D405" s="322"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1537</v>
      </c>
      <c r="C406" s="86" t="s">
        <v>1744</v>
      </c>
      <c r="D406" s="322"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963</v>
      </c>
      <c r="D407" s="322"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1020</v>
      </c>
      <c r="C409" s="86" t="s">
        <v>962</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961</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1022</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1019</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784</v>
      </c>
      <c r="C415" s="86" t="s">
        <v>964</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965</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786</v>
      </c>
      <c r="C417" s="86" t="s">
        <v>966</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842</v>
      </c>
      <c r="C418" s="86" t="s">
        <v>846</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967</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968</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969</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1545</v>
      </c>
      <c r="C422" s="86" t="s">
        <v>1758</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1547</v>
      </c>
      <c r="C423" s="86" t="s">
        <v>1759</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1021</v>
      </c>
      <c r="C425" s="86" t="s">
        <v>714</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1023</v>
      </c>
      <c r="D427" s="322"/>
      <c r="E427" s="45"/>
      <c r="Y427" s="86"/>
      <c r="AL427" s="87"/>
    </row>
    <row r="428" spans="1:38" x14ac:dyDescent="0.5">
      <c r="A428" s="86">
        <v>580</v>
      </c>
      <c r="B428" s="86" t="s">
        <v>782</v>
      </c>
      <c r="C428" s="86" t="s">
        <v>970</v>
      </c>
      <c r="D428" s="322"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784</v>
      </c>
      <c r="C429" s="86" t="s">
        <v>971</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972</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786</v>
      </c>
      <c r="C431" s="86" t="s">
        <v>973</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788</v>
      </c>
      <c r="C432" s="86" t="s">
        <v>974</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790</v>
      </c>
      <c r="C433" s="86" t="s">
        <v>975</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976</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1305</v>
      </c>
      <c r="C435" s="86" t="s">
        <v>977</v>
      </c>
      <c r="D435" s="322"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978</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979</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980</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1024</v>
      </c>
      <c r="C440" s="86" t="s">
        <v>981</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961</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1025</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982</v>
      </c>
      <c r="D446" s="322"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844</v>
      </c>
      <c r="C480" s="86" t="s">
        <v>931</v>
      </c>
      <c r="D480" s="322"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844</v>
      </c>
      <c r="C481" s="86" t="s">
        <v>847</v>
      </c>
      <c r="D481" s="322"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848</v>
      </c>
      <c r="D482" s="322"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854</v>
      </c>
      <c r="C483" s="86" t="s">
        <v>856</v>
      </c>
      <c r="D483" s="322"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1030</v>
      </c>
      <c r="C485" s="86" t="s">
        <v>1003</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717</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812</v>
      </c>
      <c r="D513" s="314"/>
      <c r="E513" s="314"/>
      <c r="AL513" s="87"/>
    </row>
    <row r="514" spans="1:38" x14ac:dyDescent="0.5">
      <c r="D514" s="314"/>
      <c r="E514" s="314"/>
      <c r="AL514" s="87"/>
    </row>
    <row r="515" spans="1:38" x14ac:dyDescent="0.5">
      <c r="A515" s="23" t="s">
        <v>813</v>
      </c>
      <c r="D515" s="314"/>
      <c r="E515" s="314"/>
      <c r="AL515" s="87"/>
    </row>
    <row r="516" spans="1:38" x14ac:dyDescent="0.5">
      <c r="A516" s="96" t="s">
        <v>1594</v>
      </c>
      <c r="C516" s="86" t="s">
        <v>1295</v>
      </c>
      <c r="D516" s="314" t="s">
        <v>1480</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1593</v>
      </c>
      <c r="C517" s="86" t="s">
        <v>952</v>
      </c>
      <c r="D517" s="314" t="s">
        <v>1480</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1592</v>
      </c>
      <c r="C518" s="86" t="s">
        <v>953</v>
      </c>
      <c r="D518" s="314" t="s">
        <v>1480</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1595</v>
      </c>
      <c r="C519" s="86" t="s">
        <v>954</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1596</v>
      </c>
      <c r="C520" s="86" t="s">
        <v>955</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1596</v>
      </c>
      <c r="C521" s="86" t="s">
        <v>956</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1598</v>
      </c>
      <c r="C522" s="86" t="s">
        <v>957</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2330</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1597</v>
      </c>
      <c r="C524" s="86" t="s">
        <v>2331</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814</v>
      </c>
      <c r="C526" s="86" t="s">
        <v>815</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1480</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563</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1686</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706</v>
      </c>
      <c r="C539" s="86" t="s">
        <v>900</v>
      </c>
      <c r="D539" s="314" t="s">
        <v>1031</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1135</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812</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936</v>
      </c>
      <c r="D550" s="45"/>
      <c r="E550" s="45"/>
      <c r="AL550" s="87"/>
    </row>
    <row r="551" spans="1:38" hidden="1" x14ac:dyDescent="0.5">
      <c r="A551" s="86" t="s">
        <v>937</v>
      </c>
      <c r="D551" s="314"/>
      <c r="E551" s="45"/>
      <c r="F551" s="90">
        <v>0</v>
      </c>
      <c r="AL551" s="87"/>
    </row>
    <row r="552" spans="1:38" hidden="1" x14ac:dyDescent="0.5">
      <c r="A552" s="86" t="s">
        <v>519</v>
      </c>
      <c r="D552" s="314"/>
      <c r="E552" s="45"/>
      <c r="F552" s="90">
        <v>0</v>
      </c>
      <c r="AL552" s="87"/>
    </row>
    <row r="553" spans="1:38" hidden="1" x14ac:dyDescent="0.5">
      <c r="A553" s="86" t="s">
        <v>520</v>
      </c>
      <c r="D553" s="314"/>
      <c r="E553" s="45"/>
      <c r="F553" s="90">
        <v>0</v>
      </c>
      <c r="AL553" s="87"/>
    </row>
    <row r="554" spans="1:38" hidden="1" x14ac:dyDescent="0.5">
      <c r="A554" s="86" t="s">
        <v>521</v>
      </c>
      <c r="D554" s="314"/>
      <c r="E554" s="45"/>
      <c r="F554" s="90">
        <v>0</v>
      </c>
      <c r="AL554" s="87"/>
    </row>
    <row r="555" spans="1:38" hidden="1" x14ac:dyDescent="0.5">
      <c r="A555" s="86" t="s">
        <v>522</v>
      </c>
      <c r="D555" s="45"/>
      <c r="E555" s="45"/>
      <c r="F555" s="90">
        <v>0</v>
      </c>
      <c r="AL555" s="87"/>
    </row>
    <row r="556" spans="1:38" hidden="1" x14ac:dyDescent="0.5">
      <c r="A556" s="86" t="s">
        <v>523</v>
      </c>
      <c r="D556" s="45"/>
      <c r="E556" s="45"/>
      <c r="F556" s="90">
        <v>0</v>
      </c>
      <c r="AL556" s="87"/>
    </row>
    <row r="557" spans="1:38" hidden="1" x14ac:dyDescent="0.5">
      <c r="A557" s="86" t="s">
        <v>524</v>
      </c>
      <c r="D557" s="45"/>
      <c r="E557" s="45"/>
      <c r="F557" s="90">
        <v>0</v>
      </c>
      <c r="AL557" s="87"/>
    </row>
    <row r="558" spans="1:38" hidden="1" x14ac:dyDescent="0.5">
      <c r="D558" s="314"/>
      <c r="E558" s="45"/>
      <c r="F558" s="90"/>
      <c r="AL558" s="87"/>
    </row>
    <row r="559" spans="1:38" hidden="1" x14ac:dyDescent="0.5">
      <c r="A559" s="86" t="s">
        <v>525</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1176</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958</v>
      </c>
      <c r="C574" s="86" t="s">
        <v>959</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724</v>
      </c>
      <c r="C575" s="86" t="s">
        <v>707</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725</v>
      </c>
      <c r="C576" s="86" t="s">
        <v>709</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726</v>
      </c>
      <c r="C577" s="86" t="s">
        <v>727</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728</v>
      </c>
      <c r="C578" s="86" t="s">
        <v>718</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710</v>
      </c>
      <c r="C579" s="86" t="s">
        <v>710</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729</v>
      </c>
      <c r="C580" s="86" t="s">
        <v>719</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732</v>
      </c>
      <c r="C583" s="86" t="s">
        <v>722</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733</v>
      </c>
      <c r="C584" s="86" t="s">
        <v>723</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715</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716</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549</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780</v>
      </c>
      <c r="D591" s="314"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706</v>
      </c>
      <c r="C593" s="86" t="s">
        <v>1031</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1036</v>
      </c>
      <c r="C595" s="86" t="s">
        <v>1035</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1293</v>
      </c>
      <c r="D601" s="314"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1554</v>
      </c>
      <c r="D604" s="314"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1021</v>
      </c>
      <c r="D610" s="314"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1024</v>
      </c>
      <c r="D611" s="314"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1026</v>
      </c>
      <c r="D612" s="314"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1479</v>
      </c>
      <c r="D615" s="314"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0"/>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1483</v>
      </c>
      <c r="H2" s="510" t="s">
        <v>2568</v>
      </c>
      <c r="I2" s="510" t="s">
        <v>2163</v>
      </c>
      <c r="J2" s="201" t="s">
        <v>2184</v>
      </c>
      <c r="K2" s="201" t="s">
        <v>1790</v>
      </c>
      <c r="L2" s="201" t="s">
        <v>1790</v>
      </c>
      <c r="M2" s="201" t="s">
        <v>1793</v>
      </c>
      <c r="N2" s="201" t="s">
        <v>1793</v>
      </c>
      <c r="O2" s="201" t="s">
        <v>1795</v>
      </c>
      <c r="P2" s="201" t="s">
        <v>2087</v>
      </c>
      <c r="Q2" s="201" t="s">
        <v>2106</v>
      </c>
      <c r="R2" s="201" t="s">
        <v>2107</v>
      </c>
      <c r="S2" s="275" t="s">
        <v>2127</v>
      </c>
      <c r="T2" s="275" t="s">
        <v>2339</v>
      </c>
      <c r="U2" s="275" t="s">
        <v>2332</v>
      </c>
      <c r="V2" s="275" t="s">
        <v>2333</v>
      </c>
      <c r="W2" s="462" t="s">
        <v>2551</v>
      </c>
      <c r="Y2" s="198"/>
      <c r="Z2" s="35"/>
    </row>
    <row r="3" spans="1:27" ht="17.25" customHeight="1" thickBot="1" x14ac:dyDescent="0.55000000000000004">
      <c r="A3" s="28" t="s">
        <v>99</v>
      </c>
      <c r="B3" s="28"/>
      <c r="C3" s="29" t="s">
        <v>1624</v>
      </c>
      <c r="D3" s="30" t="s">
        <v>100</v>
      </c>
      <c r="E3" s="30" t="s">
        <v>101</v>
      </c>
      <c r="F3" s="21" t="s">
        <v>102</v>
      </c>
      <c r="G3" s="402" t="s">
        <v>2569</v>
      </c>
      <c r="H3" s="402" t="s">
        <v>2570</v>
      </c>
      <c r="I3" s="29" t="s">
        <v>2182</v>
      </c>
      <c r="J3" s="29" t="s">
        <v>2185</v>
      </c>
      <c r="K3" s="29" t="s">
        <v>1791</v>
      </c>
      <c r="L3" s="29" t="s">
        <v>1792</v>
      </c>
      <c r="M3" s="29" t="s">
        <v>1794</v>
      </c>
      <c r="N3" s="225" t="s">
        <v>2124</v>
      </c>
      <c r="O3" s="402" t="s">
        <v>2335</v>
      </c>
      <c r="P3" s="29" t="s">
        <v>2102</v>
      </c>
      <c r="Q3" s="402" t="s">
        <v>2337</v>
      </c>
      <c r="R3" s="29" t="s">
        <v>2101</v>
      </c>
      <c r="S3" s="225" t="s">
        <v>2128</v>
      </c>
      <c r="T3" s="29" t="s">
        <v>2338</v>
      </c>
      <c r="U3" s="402" t="s">
        <v>2340</v>
      </c>
      <c r="V3" s="402" t="s">
        <v>2341</v>
      </c>
      <c r="W3" s="402" t="s">
        <v>2552</v>
      </c>
      <c r="X3" s="21" t="s">
        <v>106</v>
      </c>
      <c r="Y3" s="21" t="s">
        <v>107</v>
      </c>
      <c r="Z3" s="21" t="s">
        <v>817</v>
      </c>
    </row>
    <row r="5" spans="1:27" ht="12" customHeight="1" x14ac:dyDescent="0.5">
      <c r="A5" s="22" t="s">
        <v>108</v>
      </c>
    </row>
    <row r="7" spans="1:27" ht="12" customHeight="1" x14ac:dyDescent="0.5">
      <c r="A7" s="23" t="s">
        <v>137</v>
      </c>
    </row>
    <row r="8" spans="1:27" ht="12" customHeight="1" x14ac:dyDescent="0.5">
      <c r="A8" s="96" t="s">
        <v>2274</v>
      </c>
      <c r="C8" s="86" t="s">
        <v>176</v>
      </c>
      <c r="D8" s="86" t="s">
        <v>138</v>
      </c>
      <c r="E8" s="86" t="s">
        <v>2365</v>
      </c>
      <c r="F8" s="89">
        <f>VLOOKUP(C8,'WSS-26'!$C$1:$AU$617,6,)</f>
        <v>6073014122.7946768</v>
      </c>
      <c r="G8" s="89">
        <f t="shared" ref="G8:W8" si="1">IF(VLOOKUP($E8,$D$5:$W$977,3,)=0,0,(VLOOKUP($E8,$D$5:$W$977,G$1,)/VLOOKUP($E8,$D$5:$W$977,3,))*$F8)</f>
        <v>2488249046.62748</v>
      </c>
      <c r="H8" s="89">
        <f t="shared" si="1"/>
        <v>2541147.8973416761</v>
      </c>
      <c r="I8" s="89">
        <f t="shared" si="1"/>
        <v>670877712.94390798</v>
      </c>
      <c r="J8" s="89">
        <f t="shared" si="1"/>
        <v>43048390.257249579</v>
      </c>
      <c r="K8" s="89">
        <f t="shared" si="1"/>
        <v>625620321.44222236</v>
      </c>
      <c r="L8" s="89">
        <f t="shared" si="1"/>
        <v>27180188.49436672</v>
      </c>
      <c r="M8" s="89">
        <f t="shared" si="1"/>
        <v>601675635.97869003</v>
      </c>
      <c r="N8" s="89">
        <f t="shared" si="1"/>
        <v>1101433841.1647117</v>
      </c>
      <c r="O8" s="89">
        <f t="shared" si="1"/>
        <v>358533296.26049989</v>
      </c>
      <c r="P8" s="89">
        <f t="shared" si="1"/>
        <v>148468144.67818588</v>
      </c>
      <c r="Q8" s="89">
        <f t="shared" si="1"/>
        <v>967723.95561369124</v>
      </c>
      <c r="R8" s="89">
        <f t="shared" si="1"/>
        <v>35208.776281799255</v>
      </c>
      <c r="S8" s="89">
        <f t="shared" si="1"/>
        <v>575743.78932526777</v>
      </c>
      <c r="T8" s="89">
        <f t="shared" si="1"/>
        <v>74108.081357948686</v>
      </c>
      <c r="U8" s="89">
        <f t="shared" si="1"/>
        <v>5011.2974414638984</v>
      </c>
      <c r="V8" s="89">
        <f t="shared" si="1"/>
        <v>3325057.92</v>
      </c>
      <c r="W8" s="89">
        <f t="shared" si="1"/>
        <v>403543.23</v>
      </c>
      <c r="X8" s="91">
        <f t="shared" ref="X8:X14" si="2">SUM(G8:W8)</f>
        <v>6073014122.7946758</v>
      </c>
      <c r="Y8" s="87" t="str">
        <f t="shared" ref="Y8:Y14" si="3">IF(ABS(F8-X8)&lt;0.01,"ok","err")</f>
        <v>ok</v>
      </c>
      <c r="Z8" s="203" t="str">
        <f t="shared" ref="Z8:Z14" si="4">IF(Y8="err",X8-F8,"")</f>
        <v/>
      </c>
    </row>
    <row r="9" spans="1:27" ht="12" hidden="1" customHeight="1" x14ac:dyDescent="0.5">
      <c r="A9" s="96" t="s">
        <v>2275</v>
      </c>
      <c r="C9" s="86" t="s">
        <v>176</v>
      </c>
      <c r="D9" s="86" t="s">
        <v>139</v>
      </c>
      <c r="E9" s="86" t="s">
        <v>2273</v>
      </c>
      <c r="F9" s="90">
        <f>VLOOKUP(C9,'WSS-26'!$C$1:$AU$617,7,)</f>
        <v>0</v>
      </c>
      <c r="G9" s="89">
        <f>IF(VLOOKUP($E9,$D$5:$W$977,3,)=0,0,(VLOOKUP($E9,$D$5:$W$977,G$1,)/VLOOKUP($E9,$D$5:$W$977,3,))*$F9)</f>
        <v>0</v>
      </c>
      <c r="H9" s="89"/>
      <c r="I9" s="89">
        <f t="shared" ref="I9:W13" si="5">IF(VLOOKUP($E9,$D$5:$W$977,3,)=0,0,(VLOOKUP($E9,$D$5:$W$977,I$1,)/VLOOKUP($E9,$D$5:$W$977,3,))*$F9)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2275</v>
      </c>
      <c r="C10" s="86" t="s">
        <v>176</v>
      </c>
      <c r="D10" s="86" t="s">
        <v>140</v>
      </c>
      <c r="E10" s="86" t="s">
        <v>2273</v>
      </c>
      <c r="F10" s="90">
        <f>VLOOKUP(C10,'WSS-26'!$C$1:$AU$617,8,)</f>
        <v>0</v>
      </c>
      <c r="G10" s="89">
        <f>IF(VLOOKUP($E10,$D$5:$W$977,3,)=0,0,(VLOOKUP($E10,$D$5:$W$977,G$1,)/VLOOKUP($E10,$D$5:$W$977,3,))*$F10)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2277</v>
      </c>
      <c r="C11" s="86" t="s">
        <v>176</v>
      </c>
      <c r="D11" s="86" t="s">
        <v>141</v>
      </c>
      <c r="E11" s="86" t="s">
        <v>390</v>
      </c>
      <c r="F11" s="90">
        <f>VLOOKUP(C11,'WSS-26'!$C$1:$AU$617,9,)</f>
        <v>0</v>
      </c>
      <c r="G11" s="89">
        <f>IF(VLOOKUP($E11,$D$5:$W$977,3,)=0,0,(VLOOKUP($E11,$D$5:$W$977,G$1,)/VLOOKUP($E11,$D$5:$W$977,3,))*$F11)</f>
        <v>0</v>
      </c>
      <c r="H11" s="89">
        <f>IF(VLOOKUP($E11,$D$5:$W$977,3,)=0,0,(VLOOKUP($E11,$D$5:$W$977,H$1,)/VLOOKUP($E11,$D$5:$W$977,3,))*$F11)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2276</v>
      </c>
      <c r="C12" s="86" t="s">
        <v>176</v>
      </c>
      <c r="D12" s="86" t="s">
        <v>142</v>
      </c>
      <c r="E12" s="86" t="s">
        <v>390</v>
      </c>
      <c r="F12" s="90">
        <f>VLOOKUP(C12,'WSS-26'!$C$1:$AU$617,10,)</f>
        <v>0</v>
      </c>
      <c r="G12" s="89">
        <f>IF(VLOOKUP($E12,$D$5:$W$977,3,)=0,0,(VLOOKUP($E12,$D$5:$W$977,G$1,)/VLOOKUP($E12,$D$5:$W$977,3,))*$F12)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2276</v>
      </c>
      <c r="C13" s="86" t="s">
        <v>176</v>
      </c>
      <c r="D13" s="86" t="s">
        <v>143</v>
      </c>
      <c r="E13" s="86" t="s">
        <v>390</v>
      </c>
      <c r="F13" s="90">
        <f>VLOOKUP(C13,'WSS-26'!$C$1:$AU$617,11,)</f>
        <v>0</v>
      </c>
      <c r="G13" s="89">
        <f>IF(VLOOKUP($E13,$D$5:$W$977,3,)=0,0,(VLOOKUP($E13,$D$5:$W$977,G$1,)/VLOOKUP($E13,$D$5:$W$977,3,))*$F13)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86" t="s">
        <v>391</v>
      </c>
      <c r="F14" s="89">
        <f>SUM(F8:F13)</f>
        <v>6073014122.7946768</v>
      </c>
      <c r="G14" s="89">
        <f t="shared" ref="G14:P14" si="6">SUM(G8:G13)</f>
        <v>2488249046.62748</v>
      </c>
      <c r="H14" s="89">
        <f t="shared" si="6"/>
        <v>2541147.8973416761</v>
      </c>
      <c r="I14" s="89">
        <f t="shared" si="6"/>
        <v>670877712.94390798</v>
      </c>
      <c r="J14" s="89">
        <f>SUM(J8:J13)</f>
        <v>43048390.257249579</v>
      </c>
      <c r="K14" s="89">
        <f>SUM(K8:K13)</f>
        <v>625620321.44222236</v>
      </c>
      <c r="L14" s="89">
        <f>SUM(L8:L13)</f>
        <v>27180188.49436672</v>
      </c>
      <c r="M14" s="89">
        <f t="shared" si="6"/>
        <v>601675635.97869003</v>
      </c>
      <c r="N14" s="89">
        <f t="shared" si="6"/>
        <v>1101433841.1647117</v>
      </c>
      <c r="O14" s="89">
        <f t="shared" si="6"/>
        <v>358533296.26049989</v>
      </c>
      <c r="P14" s="89">
        <f t="shared" si="6"/>
        <v>148468144.67818588</v>
      </c>
      <c r="Q14" s="89">
        <f t="shared" ref="Q14:W14" si="7">SUM(Q8:Q13)</f>
        <v>967723.95561369124</v>
      </c>
      <c r="R14" s="89">
        <f t="shared" si="7"/>
        <v>35208.776281799255</v>
      </c>
      <c r="S14" s="89">
        <f t="shared" si="7"/>
        <v>575743.78932526777</v>
      </c>
      <c r="T14" s="89">
        <f t="shared" si="7"/>
        <v>74108.081357948686</v>
      </c>
      <c r="U14" s="89">
        <f t="shared" si="7"/>
        <v>5011.2974414638984</v>
      </c>
      <c r="V14" s="89">
        <f t="shared" si="7"/>
        <v>3325057.92</v>
      </c>
      <c r="W14" s="89">
        <f t="shared" si="7"/>
        <v>403543.23</v>
      </c>
      <c r="X14" s="91">
        <f t="shared" si="2"/>
        <v>6073014122.7946758</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2248</v>
      </c>
      <c r="C17" s="86" t="s">
        <v>176</v>
      </c>
      <c r="D17" s="86" t="s">
        <v>133</v>
      </c>
      <c r="E17" s="86" t="s">
        <v>2249</v>
      </c>
      <c r="F17" s="89">
        <f>VLOOKUP(C17,'WSS-26'!$C$1:$AU$617,13,)</f>
        <v>1314530302.8368411</v>
      </c>
      <c r="G17" s="89">
        <f t="shared" ref="G17:P19" si="8">IF(VLOOKUP($E17,$D$5:$W$977,3,)=0,0,(VLOOKUP($E17,$D$5:$W$977,G$1,)/VLOOKUP($E17,$D$5:$W$977,3,))*$F17)</f>
        <v>579627091.60392749</v>
      </c>
      <c r="H17" s="89">
        <f t="shared" si="8"/>
        <v>1862195.4491886254</v>
      </c>
      <c r="I17" s="89">
        <f t="shared" si="8"/>
        <v>149130465.19712743</v>
      </c>
      <c r="J17" s="89">
        <f t="shared" si="8"/>
        <v>15262651.83261152</v>
      </c>
      <c r="K17" s="89">
        <f t="shared" si="8"/>
        <v>133037403.50391562</v>
      </c>
      <c r="L17" s="89">
        <f t="shared" si="8"/>
        <v>5716725.8159202384</v>
      </c>
      <c r="M17" s="89">
        <f t="shared" si="8"/>
        <v>117693515.97486165</v>
      </c>
      <c r="N17" s="89">
        <f t="shared" si="8"/>
        <v>191679762.45910487</v>
      </c>
      <c r="O17" s="89">
        <f t="shared" si="8"/>
        <v>66470397.849760465</v>
      </c>
      <c r="P17" s="89">
        <f t="shared" si="8"/>
        <v>44540265.062320352</v>
      </c>
      <c r="Q17" s="89">
        <f t="shared" ref="Q17:W19" si="9">IF(VLOOKUP($E17,$D$5:$W$977,3,)=0,0,(VLOOKUP($E17,$D$5:$W$977,Q$1,)/VLOOKUP($E17,$D$5:$W$977,3,))*$F17)</f>
        <v>8970899.4630384352</v>
      </c>
      <c r="R17" s="89">
        <f t="shared" si="9"/>
        <v>326388.9360270435</v>
      </c>
      <c r="S17" s="89">
        <f t="shared" si="9"/>
        <v>87937.151364702164</v>
      </c>
      <c r="T17" s="89">
        <f t="shared" si="9"/>
        <v>123829.84329391646</v>
      </c>
      <c r="U17" s="89">
        <f t="shared" si="9"/>
        <v>772.69437883932176</v>
      </c>
      <c r="V17" s="89">
        <f t="shared" si="9"/>
        <v>0</v>
      </c>
      <c r="W17" s="89">
        <f t="shared" si="9"/>
        <v>0</v>
      </c>
      <c r="X17" s="91">
        <f>SUM(G17:W17)</f>
        <v>1314530302.8368413</v>
      </c>
      <c r="Y17" s="87" t="str">
        <f>IF(ABS(F17-X17)&lt;0.01,"ok","err")</f>
        <v>ok</v>
      </c>
      <c r="Z17" s="203" t="str">
        <f>IF(Y17="err",X17-F17,"")</f>
        <v/>
      </c>
    </row>
    <row r="18" spans="1:26" ht="12" hidden="1" customHeight="1" x14ac:dyDescent="0.5">
      <c r="A18" s="96" t="s">
        <v>2247</v>
      </c>
      <c r="C18" s="86" t="s">
        <v>176</v>
      </c>
      <c r="D18" s="86" t="s">
        <v>134</v>
      </c>
      <c r="E18" s="86" t="s">
        <v>2249</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2247</v>
      </c>
      <c r="C19" s="86" t="s">
        <v>176</v>
      </c>
      <c r="D19" s="86" t="s">
        <v>135</v>
      </c>
      <c r="E19" s="86" t="s">
        <v>2249</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579627091.60392749</v>
      </c>
      <c r="H20" s="89">
        <f t="shared" ref="H20" si="11">SUM(H17:H19)</f>
        <v>1862195.4491886254</v>
      </c>
      <c r="I20" s="89">
        <f t="shared" si="10"/>
        <v>149130465.19712743</v>
      </c>
      <c r="J20" s="89">
        <f>SUM(J17:J19)</f>
        <v>15262651.83261152</v>
      </c>
      <c r="K20" s="89">
        <f>SUM(K17:K19)</f>
        <v>133037403.50391562</v>
      </c>
      <c r="L20" s="89">
        <f>SUM(L17:L19)</f>
        <v>5716725.8159202384</v>
      </c>
      <c r="M20" s="89">
        <f t="shared" si="10"/>
        <v>117693515.97486165</v>
      </c>
      <c r="N20" s="89">
        <f t="shared" si="10"/>
        <v>191679762.45910487</v>
      </c>
      <c r="O20" s="89">
        <f t="shared" si="10"/>
        <v>66470397.849760465</v>
      </c>
      <c r="P20" s="89">
        <f t="shared" si="10"/>
        <v>44540265.062320352</v>
      </c>
      <c r="Q20" s="89">
        <f>SUM(Q17:Q19)</f>
        <v>8970899.4630384352</v>
      </c>
      <c r="R20" s="89">
        <f t="shared" si="10"/>
        <v>326388.9360270435</v>
      </c>
      <c r="S20" s="89">
        <f t="shared" si="10"/>
        <v>87937.151364702164</v>
      </c>
      <c r="T20" s="89">
        <f t="shared" si="10"/>
        <v>123829.84329391646</v>
      </c>
      <c r="U20" s="89">
        <f t="shared" si="10"/>
        <v>772.69437883932176</v>
      </c>
      <c r="V20" s="89"/>
      <c r="W20" s="89"/>
      <c r="X20" s="91">
        <f>SUM(G20:W20)</f>
        <v>1314530302.8368413</v>
      </c>
      <c r="Y20" s="87" t="str">
        <f>IF(ABS(F20-X20)&lt;0.01,"ok","err")</f>
        <v>ok</v>
      </c>
      <c r="Z20" s="203" t="str">
        <f>IF(Y20="err",X20-F20,"")</f>
        <v/>
      </c>
    </row>
    <row r="21" spans="1:26" ht="12" customHeight="1" x14ac:dyDescent="0.5">
      <c r="F21" s="90"/>
      <c r="G21" s="204"/>
      <c r="H21" s="204"/>
    </row>
    <row r="22" spans="1:26" ht="12" customHeight="1" x14ac:dyDescent="0.5">
      <c r="A22" s="23" t="s">
        <v>1628</v>
      </c>
      <c r="F22" s="90"/>
      <c r="G22" s="90"/>
      <c r="H22" s="90"/>
    </row>
    <row r="23" spans="1:26" ht="12" customHeight="1" x14ac:dyDescent="0.5">
      <c r="A23" s="96" t="s">
        <v>145</v>
      </c>
      <c r="C23" s="86" t="s">
        <v>176</v>
      </c>
      <c r="D23" s="86" t="s">
        <v>148</v>
      </c>
      <c r="E23" s="86" t="s">
        <v>2253</v>
      </c>
      <c r="F23" s="89">
        <f>VLOOKUP(C23,'WSS-26'!$C$1:$AU$617,17,)</f>
        <v>0</v>
      </c>
      <c r="G23" s="89">
        <f t="shared" ref="G23:W23" si="12">IF(VLOOKUP($E23,$D$5:$W$977,3,)=0,0,(VLOOKUP($E23,$D$5:$W$977,G$1,)/VLOOKUP($E23,$D$5:$W$977,3,))*$F23)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1629</v>
      </c>
      <c r="F25" s="90"/>
      <c r="G25" s="90"/>
      <c r="H25" s="90"/>
    </row>
    <row r="26" spans="1:26" ht="12" customHeight="1" x14ac:dyDescent="0.5">
      <c r="A26" s="96" t="s">
        <v>147</v>
      </c>
      <c r="C26" s="86" t="s">
        <v>176</v>
      </c>
      <c r="D26" s="86" t="s">
        <v>149</v>
      </c>
      <c r="E26" s="86" t="s">
        <v>2253</v>
      </c>
      <c r="F26" s="89">
        <f>VLOOKUP(C26,'WSS-26'!$C$1:$AU$617,18,)</f>
        <v>354760183.45902979</v>
      </c>
      <c r="G26" s="89">
        <f t="shared" ref="G26:W26" si="13">IF(VLOOKUP($E26,$D$5:$W$977,3,)=0,0,(VLOOKUP($E26,$D$5:$W$977,G$1,)/VLOOKUP($E26,$D$5:$W$977,3,))*$F26)</f>
        <v>170856051.3130374</v>
      </c>
      <c r="H26" s="89">
        <f t="shared" si="13"/>
        <v>548917.33983836556</v>
      </c>
      <c r="I26" s="89">
        <f t="shared" si="13"/>
        <v>43959026.041295707</v>
      </c>
      <c r="J26" s="89">
        <f t="shared" si="13"/>
        <v>4498955.3843484083</v>
      </c>
      <c r="K26" s="89">
        <f t="shared" si="13"/>
        <v>39215291.639871046</v>
      </c>
      <c r="L26" s="89">
        <f t="shared" si="13"/>
        <v>1685113.0899431126</v>
      </c>
      <c r="M26" s="89">
        <f t="shared" si="13"/>
        <v>34692390.497084379</v>
      </c>
      <c r="N26" s="89">
        <f t="shared" si="13"/>
        <v>56501236.406600229</v>
      </c>
      <c r="O26" s="89">
        <f t="shared" si="13"/>
        <v>0</v>
      </c>
      <c r="P26" s="89">
        <f t="shared" si="13"/>
        <v>0</v>
      </c>
      <c r="Q26" s="89">
        <f t="shared" si="13"/>
        <v>2644342.3386916937</v>
      </c>
      <c r="R26" s="89">
        <f t="shared" si="13"/>
        <v>96209.313901342088</v>
      </c>
      <c r="S26" s="89">
        <f t="shared" si="13"/>
        <v>25921.139062555307</v>
      </c>
      <c r="T26" s="89">
        <f t="shared" si="13"/>
        <v>36501.189068588064</v>
      </c>
      <c r="U26" s="89">
        <f t="shared" si="13"/>
        <v>227.76628689826438</v>
      </c>
      <c r="V26" s="89">
        <f t="shared" si="13"/>
        <v>0</v>
      </c>
      <c r="W26" s="89">
        <f t="shared" si="13"/>
        <v>0</v>
      </c>
      <c r="X26" s="91">
        <f>SUM(G26:W26)</f>
        <v>354760183.45902985</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792</v>
      </c>
      <c r="C29" s="86" t="s">
        <v>176</v>
      </c>
      <c r="D29" s="86" t="s">
        <v>152</v>
      </c>
      <c r="E29" s="86" t="s">
        <v>2253</v>
      </c>
      <c r="F29" s="89">
        <f>VLOOKUP(C29,'WSS-26'!$C$1:$AU$617,19,)</f>
        <v>0</v>
      </c>
      <c r="G29" s="89">
        <f t="shared" ref="G29:P33" si="14">IF(VLOOKUP($E29,$D$5:$W$977,3,)=0,0,(VLOOKUP($E29,$D$5:$W$977,G$1,)/VLOOKUP($E29,$D$5:$W$977,3,))*$F29)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IF(VLOOKUP($E29,$D$5:$W$977,3,)=0,0,(VLOOKUP($E29,$D$5:$W$977,Q$1,)/VLOOKUP($E29,$D$5:$W$977,3,))*$F29)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793</v>
      </c>
      <c r="C30" s="86" t="s">
        <v>176</v>
      </c>
      <c r="D30" s="86" t="s">
        <v>153</v>
      </c>
      <c r="E30" s="86" t="s">
        <v>2253</v>
      </c>
      <c r="F30" s="90">
        <f>VLOOKUP(C30,'WSS-26'!$C$1:$AU$617,20,)</f>
        <v>282159692.10574192</v>
      </c>
      <c r="G30" s="89">
        <f t="shared" si="14"/>
        <v>135890928.80389988</v>
      </c>
      <c r="H30" s="89">
        <f t="shared" si="14"/>
        <v>436583.23234062438</v>
      </c>
      <c r="I30" s="89">
        <f t="shared" si="14"/>
        <v>34962957.601787142</v>
      </c>
      <c r="J30" s="89">
        <f t="shared" si="14"/>
        <v>3578259.1317546172</v>
      </c>
      <c r="K30" s="89">
        <f t="shared" si="14"/>
        <v>31190012.664487053</v>
      </c>
      <c r="L30" s="89">
        <f t="shared" si="14"/>
        <v>1340260.3020037471</v>
      </c>
      <c r="M30" s="89">
        <f t="shared" si="14"/>
        <v>27592708.194097474</v>
      </c>
      <c r="N30" s="89">
        <f t="shared" si="14"/>
        <v>44938446.340388693</v>
      </c>
      <c r="O30" s="89">
        <f t="shared" si="14"/>
        <v>0</v>
      </c>
      <c r="P30" s="89">
        <f t="shared" si="14"/>
        <v>0</v>
      </c>
      <c r="Q30" s="89">
        <f t="shared" si="15"/>
        <v>2103186.4760933463</v>
      </c>
      <c r="R30" s="89">
        <f t="shared" si="15"/>
        <v>76520.397873913083</v>
      </c>
      <c r="S30" s="89">
        <f t="shared" si="15"/>
        <v>20616.46418605313</v>
      </c>
      <c r="T30" s="89">
        <f t="shared" si="15"/>
        <v>29031.342155328715</v>
      </c>
      <c r="U30" s="89">
        <f t="shared" si="15"/>
        <v>181.15467400163948</v>
      </c>
      <c r="V30" s="89">
        <f t="shared" si="15"/>
        <v>0</v>
      </c>
      <c r="W30" s="89">
        <f t="shared" si="15"/>
        <v>0</v>
      </c>
      <c r="X30" s="91">
        <f t="shared" si="16"/>
        <v>282159692.10574198</v>
      </c>
      <c r="Y30" s="87" t="str">
        <f t="shared" si="17"/>
        <v>ok</v>
      </c>
      <c r="Z30" s="203" t="str">
        <f t="shared" si="18"/>
        <v/>
      </c>
    </row>
    <row r="31" spans="1:26" ht="12" customHeight="1" x14ac:dyDescent="0.5">
      <c r="A31" s="96" t="s">
        <v>794</v>
      </c>
      <c r="C31" s="86" t="s">
        <v>176</v>
      </c>
      <c r="D31" s="86" t="s">
        <v>154</v>
      </c>
      <c r="E31" s="86" t="s">
        <v>2452</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795</v>
      </c>
      <c r="C32" s="86" t="s">
        <v>176</v>
      </c>
      <c r="D32" s="86" t="s">
        <v>155</v>
      </c>
      <c r="E32" s="86" t="s">
        <v>734</v>
      </c>
      <c r="F32" s="90">
        <f>VLOOKUP(C32,'WSS-26'!$C$1:$AU$617,22,)</f>
        <v>127023976.71572234</v>
      </c>
      <c r="G32" s="89">
        <f t="shared" si="14"/>
        <v>104906605.6271107</v>
      </c>
      <c r="H32" s="89">
        <f t="shared" si="14"/>
        <v>315462.46996801725</v>
      </c>
      <c r="I32" s="89">
        <f t="shared" si="14"/>
        <v>19615485.52695765</v>
      </c>
      <c r="J32" s="89">
        <f t="shared" si="14"/>
        <v>1421833.8695068713</v>
      </c>
      <c r="K32" s="89">
        <f t="shared" si="14"/>
        <v>0</v>
      </c>
      <c r="L32" s="89">
        <f t="shared" si="14"/>
        <v>0</v>
      </c>
      <c r="M32" s="89">
        <f t="shared" si="14"/>
        <v>0</v>
      </c>
      <c r="N32" s="89">
        <f t="shared" si="14"/>
        <v>0</v>
      </c>
      <c r="O32" s="89">
        <f t="shared" si="14"/>
        <v>0</v>
      </c>
      <c r="P32" s="89">
        <f t="shared" si="14"/>
        <v>0</v>
      </c>
      <c r="Q32" s="89">
        <f t="shared" si="15"/>
        <v>730775.01868114946</v>
      </c>
      <c r="R32" s="89">
        <f t="shared" si="15"/>
        <v>26587.844597435469</v>
      </c>
      <c r="S32" s="89">
        <f t="shared" si="15"/>
        <v>7163.414738519622</v>
      </c>
      <c r="T32" s="89">
        <f t="shared" si="15"/>
        <v>0</v>
      </c>
      <c r="U32" s="89">
        <f t="shared" si="15"/>
        <v>62.944162004895865</v>
      </c>
      <c r="V32" s="89">
        <f t="shared" si="15"/>
        <v>0</v>
      </c>
      <c r="W32" s="89">
        <f t="shared" si="15"/>
        <v>0</v>
      </c>
      <c r="X32" s="91">
        <f t="shared" si="16"/>
        <v>127023976.71572235</v>
      </c>
      <c r="Y32" s="87" t="str">
        <f t="shared" si="17"/>
        <v>ok</v>
      </c>
      <c r="Z32" s="203" t="str">
        <f t="shared" si="18"/>
        <v/>
      </c>
    </row>
    <row r="33" spans="1:26" ht="12" customHeight="1" x14ac:dyDescent="0.5">
      <c r="A33" s="96" t="s">
        <v>796</v>
      </c>
      <c r="C33" s="86" t="s">
        <v>176</v>
      </c>
      <c r="D33" s="86" t="s">
        <v>156</v>
      </c>
      <c r="E33" s="86" t="s">
        <v>2451</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878164133.33438408</v>
      </c>
      <c r="H34" s="89">
        <f t="shared" ref="H34" si="20">SUM(H29:H33)</f>
        <v>12127436.596744187</v>
      </c>
      <c r="I34" s="89">
        <f t="shared" si="19"/>
        <v>175949111.95543489</v>
      </c>
      <c r="J34" s="89">
        <f>SUM(J29:J33)</f>
        <v>5622035.7142519047</v>
      </c>
      <c r="K34" s="89">
        <f>SUM(K29:K33)</f>
        <v>35615228.377309367</v>
      </c>
      <c r="L34" s="89">
        <f>SUM(L29:L33)</f>
        <v>1543489.4792697874</v>
      </c>
      <c r="M34" s="89">
        <f t="shared" si="19"/>
        <v>28354817.608845126</v>
      </c>
      <c r="N34" s="89">
        <f t="shared" si="19"/>
        <v>45193479.033428431</v>
      </c>
      <c r="O34" s="89">
        <f t="shared" si="19"/>
        <v>0</v>
      </c>
      <c r="P34" s="89">
        <f t="shared" si="19"/>
        <v>0</v>
      </c>
      <c r="Q34" s="89">
        <f>SUM(Q29:Q33)</f>
        <v>31077755.667271364</v>
      </c>
      <c r="R34" s="89">
        <f t="shared" si="19"/>
        <v>120710.39472579428</v>
      </c>
      <c r="S34" s="89">
        <f t="shared" si="19"/>
        <v>244873.09006273659</v>
      </c>
      <c r="T34" s="89">
        <f t="shared" si="19"/>
        <v>33016.227984074605</v>
      </c>
      <c r="U34" s="89">
        <f t="shared" si="19"/>
        <v>19618.804688218006</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791</v>
      </c>
      <c r="F36" s="90"/>
    </row>
    <row r="37" spans="1:26" ht="12" customHeight="1" x14ac:dyDescent="0.5">
      <c r="A37" s="96" t="s">
        <v>389</v>
      </c>
      <c r="C37" s="86" t="s">
        <v>176</v>
      </c>
      <c r="D37" s="86" t="s">
        <v>158</v>
      </c>
      <c r="E37" s="86" t="s">
        <v>2178</v>
      </c>
      <c r="F37" s="89">
        <f>VLOOKUP(C37,'WSS-26'!$C$1:$AU$617,24,)</f>
        <v>185167207.95059004</v>
      </c>
      <c r="G37" s="89">
        <f t="shared" ref="G37:P38" si="21">IF(VLOOKUP($E37,$D$5:$W$977,3,)=0,0,(VLOOKUP($E37,$D$5:$W$977,G$1,)/VLOOKUP($E37,$D$5:$W$977,3,))*$F37)</f>
        <v>126218348.08650382</v>
      </c>
      <c r="H37" s="89">
        <f t="shared" si="21"/>
        <v>379548.56707671075</v>
      </c>
      <c r="I37" s="89">
        <f t="shared" si="21"/>
        <v>23600364.965840589</v>
      </c>
      <c r="J37" s="89">
        <f t="shared" si="21"/>
        <v>1710678.9528630143</v>
      </c>
      <c r="K37" s="89">
        <f t="shared" si="21"/>
        <v>17436531.757574417</v>
      </c>
      <c r="L37" s="89">
        <f t="shared" si="21"/>
        <v>0</v>
      </c>
      <c r="M37" s="89">
        <f t="shared" si="21"/>
        <v>14881152.858844066</v>
      </c>
      <c r="N37" s="89">
        <f t="shared" si="21"/>
        <v>0</v>
      </c>
      <c r="O37" s="89">
        <f t="shared" si="21"/>
        <v>0</v>
      </c>
      <c r="P37" s="89">
        <f t="shared" si="21"/>
        <v>0</v>
      </c>
      <c r="Q37" s="89">
        <f t="shared" ref="Q37:W38" si="22">IF(VLOOKUP($E37,$D$5:$W$977,3,)=0,0,(VLOOKUP($E37,$D$5:$W$977,Q$1,)/VLOOKUP($E37,$D$5:$W$977,3,))*$F37)</f>
        <v>879231.72358349629</v>
      </c>
      <c r="R37" s="89">
        <f t="shared" si="22"/>
        <v>31989.156490272828</v>
      </c>
      <c r="S37" s="89">
        <f t="shared" si="22"/>
        <v>8618.6600886532124</v>
      </c>
      <c r="T37" s="89">
        <f t="shared" si="22"/>
        <v>20667.49047715362</v>
      </c>
      <c r="U37" s="89">
        <f t="shared" si="22"/>
        <v>75.731247831872537</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2453</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1469</v>
      </c>
      <c r="D39" s="86" t="s">
        <v>162</v>
      </c>
      <c r="F39" s="89">
        <f t="shared" ref="F39:P39" si="23">F37+F38</f>
        <v>339009124.08344942</v>
      </c>
      <c r="G39" s="89">
        <f t="shared" si="23"/>
        <v>247741663.24831638</v>
      </c>
      <c r="H39" s="89">
        <f t="shared" ref="H39" si="24">H37+H38</f>
        <v>2548434.1270225272</v>
      </c>
      <c r="I39" s="89">
        <f t="shared" si="23"/>
        <v>46741467.848550454</v>
      </c>
      <c r="J39" s="89">
        <f>J37+J38</f>
        <v>1829261.4773526373</v>
      </c>
      <c r="K39" s="89">
        <f>K37+K38</f>
        <v>18678851.507062402</v>
      </c>
      <c r="L39" s="89">
        <f>L37+L38</f>
        <v>0</v>
      </c>
      <c r="M39" s="89">
        <f t="shared" si="23"/>
        <v>15095104.819302937</v>
      </c>
      <c r="N39" s="89">
        <f t="shared" si="23"/>
        <v>0</v>
      </c>
      <c r="O39" s="89">
        <f t="shared" si="23"/>
        <v>0</v>
      </c>
      <c r="P39" s="89">
        <f t="shared" si="23"/>
        <v>0</v>
      </c>
      <c r="Q39" s="89">
        <f t="shared" ref="Q39:W39" si="25">Q37+Q38</f>
        <v>6264326.434374962</v>
      </c>
      <c r="R39" s="89">
        <f t="shared" si="25"/>
        <v>35345.265673941401</v>
      </c>
      <c r="S39" s="89">
        <f t="shared" si="25"/>
        <v>50010.673353898965</v>
      </c>
      <c r="T39" s="89">
        <f t="shared" si="25"/>
        <v>21786.193538376479</v>
      </c>
      <c r="U39" s="89">
        <f t="shared" si="25"/>
        <v>2872.4889008890186</v>
      </c>
      <c r="V39" s="89">
        <f t="shared" si="25"/>
        <v>0</v>
      </c>
      <c r="W39" s="89">
        <f t="shared" si="25"/>
        <v>0</v>
      </c>
      <c r="X39" s="91">
        <f>SUM(G39:W39)</f>
        <v>339009124.08344936</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IF(VLOOKUP($E42,$D$5:$W$977,3,)=0,0,(VLOOKUP($E42,$D$5:$W$977,G$1,)/VLOOKUP($E42,$D$5:$W$977,3,))*$F42)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2420</v>
      </c>
      <c r="F45" s="89">
        <f>VLOOKUP(C45,'WSS-26'!$C$1:$AU$617,27,)</f>
        <v>77142556.667383939</v>
      </c>
      <c r="G45" s="89">
        <f t="shared" ref="G45:W45" si="27">IF(VLOOKUP($E45,$D$5:$W$977,3,)=0,0,(VLOOKUP($E45,$D$5:$W$977,G$1,)/VLOOKUP($E45,$D$5:$W$977,3,))*$F45)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2448</v>
      </c>
      <c r="F48" s="89">
        <f>VLOOKUP(C48,'WSS-26'!$C$1:$AU$617,28,)</f>
        <v>148542745.59654084</v>
      </c>
      <c r="G48" s="89">
        <f t="shared" ref="G48:W48" si="28">IF(VLOOKUP($E48,$D$5:$W$977,3,)=0,0,(VLOOKUP($E48,$D$5:$W$977,G$1,)/VLOOKUP($E48,$D$5:$W$977,3,))*$F48)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2447</v>
      </c>
      <c r="F51" s="89">
        <f>VLOOKUP(C51,'WSS-26'!$C$1:$AU$617,30,)</f>
        <v>0</v>
      </c>
      <c r="G51" s="89">
        <f t="shared" ref="G51:W51" si="29">IF(VLOOKUP($E51,$D$5:$W$977,3,)=0,0,(VLOOKUP($E51,$D$5:$W$977,G$1,)/VLOOKUP($E51,$D$5:$W$977,3,))*$F51)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1631</v>
      </c>
      <c r="F53" s="90"/>
    </row>
    <row r="54" spans="1:26" ht="12" customHeight="1" x14ac:dyDescent="0.5">
      <c r="A54" s="96" t="s">
        <v>392</v>
      </c>
      <c r="C54" s="86" t="s">
        <v>176</v>
      </c>
      <c r="D54" s="86" t="s">
        <v>210</v>
      </c>
      <c r="E54" s="86" t="s">
        <v>2447</v>
      </c>
      <c r="F54" s="89">
        <f>VLOOKUP(C54,'WSS-26'!$C$1:$AU$617,32,)</f>
        <v>0</v>
      </c>
      <c r="G54" s="89">
        <f t="shared" ref="G54:W54" si="30">IF(VLOOKUP($E54,$D$5:$W$977,3,)=0,0,(VLOOKUP($E54,$D$5:$W$977,G$1,)/VLOOKUP($E54,$D$5:$W$977,3,))*$F54)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1630</v>
      </c>
      <c r="F56" s="90"/>
    </row>
    <row r="57" spans="1:26" ht="12" customHeight="1" x14ac:dyDescent="0.5">
      <c r="A57" s="96" t="s">
        <v>392</v>
      </c>
      <c r="C57" s="86" t="s">
        <v>176</v>
      </c>
      <c r="D57" s="86" t="s">
        <v>211</v>
      </c>
      <c r="E57" s="86" t="s">
        <v>2450</v>
      </c>
      <c r="F57" s="89">
        <f>VLOOKUP(C57,'WSS-26'!$C$1:$AU$617,34,)</f>
        <v>0</v>
      </c>
      <c r="G57" s="89">
        <f t="shared" ref="G57:W57" si="31">IF(VLOOKUP($E57,$D$5:$W$977,3,)=0,0,(VLOOKUP($E57,$D$5:$W$977,G$1,)/VLOOKUP($E57,$D$5:$W$977,3,))*$F57)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4513510045.3516665</v>
      </c>
      <c r="H59" s="89">
        <f>H14+H20+H23+H26+H34+H39+H42+H45+H48+H51+H54+H57</f>
        <v>19845947.745869599</v>
      </c>
      <c r="I59" s="89">
        <f t="shared" ref="I59:U59" si="32">I14+I20+I23+I26+I34+I39+I42+I45+I48+I51+I54+I57</f>
        <v>1128486342.1503797</v>
      </c>
      <c r="J59" s="89">
        <f>J14+J20+J23+J26+J34+J39+J42+J45+J48+J51+J54+J57</f>
        <v>70853029.006842926</v>
      </c>
      <c r="K59" s="89">
        <f>K14+K20+K23+K26+K34+K39+K42+K45+K48+K51+K54+K57</f>
        <v>861031898.47436261</v>
      </c>
      <c r="L59" s="89">
        <f>L14+L20+L23+L26+L34+L39+L42+L45+L48+L51+L54+L57</f>
        <v>37273047.711964659</v>
      </c>
      <c r="M59" s="89">
        <f t="shared" si="32"/>
        <v>799418410.3913697</v>
      </c>
      <c r="N59" s="89">
        <f t="shared" si="32"/>
        <v>1396841137.3988183</v>
      </c>
      <c r="O59" s="89">
        <f t="shared" si="32"/>
        <v>426011550.9229179</v>
      </c>
      <c r="P59" s="89">
        <f>P14+P20+P23+P26+P34+P39+P42+P45+P48+P51+P54+P57</f>
        <v>193070624.30031919</v>
      </c>
      <c r="Q59" s="89">
        <f>Q14+Q20+Q23+Q26+Q34+Q39+Q42+Q45+Q48+Q51+Q54+Q57</f>
        <v>198467793.455531</v>
      </c>
      <c r="R59" s="89">
        <f t="shared" si="32"/>
        <v>625217.91967553284</v>
      </c>
      <c r="S59" s="89">
        <f t="shared" si="32"/>
        <v>1124428.576598143</v>
      </c>
      <c r="T59" s="89">
        <f t="shared" si="32"/>
        <v>297226.58198722551</v>
      </c>
      <c r="U59" s="89">
        <f t="shared" si="32"/>
        <v>187736.86169630851</v>
      </c>
      <c r="V59" s="89">
        <f>V14+V20+V23+V26+V34+V39+V42+V45+V48+V51+V54+V57</f>
        <v>3325057.92</v>
      </c>
      <c r="W59" s="89">
        <f>W14+W20+W23+W26+W34+W39+W42+W45+W48+W51+W54+W57</f>
        <v>403543.23</v>
      </c>
      <c r="X59" s="91">
        <f>SUM(G59:W59)</f>
        <v>9650773037.9999981</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2274</v>
      </c>
      <c r="C66" s="86" t="s">
        <v>191</v>
      </c>
      <c r="D66" s="86" t="s">
        <v>212</v>
      </c>
      <c r="E66" s="86" t="s">
        <v>2378</v>
      </c>
      <c r="F66" s="89">
        <f>VLOOKUP(C66,'WSS-26'!$C$1:$AU$617,6,)</f>
        <v>3680027941.1597633</v>
      </c>
      <c r="G66" s="89">
        <f t="shared" ref="G66:P71" si="33">IF(VLOOKUP($E66,$D$5:$W$977,3,)=0,0,(VLOOKUP($E66,$D$5:$W$977,G$1,)/VLOOKUP($E66,$D$5:$W$977,3,))*$F66)</f>
        <v>1507275250.1284583</v>
      </c>
      <c r="H66" s="89">
        <f t="shared" si="33"/>
        <v>1539319.1199130428</v>
      </c>
      <c r="I66" s="89">
        <f t="shared" si="33"/>
        <v>406389132.93413788</v>
      </c>
      <c r="J66" s="89">
        <f t="shared" si="33"/>
        <v>26076880.560074221</v>
      </c>
      <c r="K66" s="89">
        <f t="shared" si="33"/>
        <v>378974133.54397547</v>
      </c>
      <c r="L66" s="89">
        <f t="shared" si="33"/>
        <v>16464600.063611977</v>
      </c>
      <c r="M66" s="89">
        <f t="shared" si="33"/>
        <v>364469463.35422486</v>
      </c>
      <c r="N66" s="89">
        <f t="shared" si="33"/>
        <v>667201689.75514746</v>
      </c>
      <c r="O66" s="89">
        <f t="shared" si="33"/>
        <v>217184194.05520666</v>
      </c>
      <c r="P66" s="89">
        <f t="shared" si="33"/>
        <v>89935675.936149001</v>
      </c>
      <c r="Q66" s="89">
        <f t="shared" ref="Q66:W71" si="34">IF(VLOOKUP($E66,$D$5:$W$977,3,)=0,0,(VLOOKUP($E66,$D$5:$W$977,Q$1,)/VLOOKUP($E66,$D$5:$W$977,3,))*$F66)</f>
        <v>586205.93836051854</v>
      </c>
      <c r="R66" s="89">
        <f t="shared" si="34"/>
        <v>21327.97645348038</v>
      </c>
      <c r="S66" s="89">
        <f t="shared" si="34"/>
        <v>348761.0555870012</v>
      </c>
      <c r="T66" s="89">
        <f t="shared" si="34"/>
        <v>44891.518000073098</v>
      </c>
      <c r="U66" s="89">
        <f t="shared" si="34"/>
        <v>3035.6304626292631</v>
      </c>
      <c r="V66" s="89">
        <f t="shared" si="34"/>
        <v>3141952.7900000005</v>
      </c>
      <c r="W66" s="89">
        <f t="shared" si="34"/>
        <v>371426.8</v>
      </c>
      <c r="X66" s="91">
        <f t="shared" ref="X66:X71" si="35">SUM(G66:W66)</f>
        <v>3680027941.1597629</v>
      </c>
      <c r="Y66" s="87" t="str">
        <f t="shared" ref="Y66:Y71" si="36">IF(ABS(F66-X66)&lt;0.01,"ok","err")</f>
        <v>ok</v>
      </c>
      <c r="Z66" s="203" t="str">
        <f t="shared" ref="Z66:Z71" si="37">IF(Y66="err",X66-F66,"")</f>
        <v/>
      </c>
    </row>
    <row r="67" spans="1:26" ht="12" hidden="1" customHeight="1" x14ac:dyDescent="0.5">
      <c r="A67" s="96" t="s">
        <v>2275</v>
      </c>
      <c r="C67" s="86" t="s">
        <v>191</v>
      </c>
      <c r="D67" s="86" t="s">
        <v>213</v>
      </c>
      <c r="E67" s="86" t="s">
        <v>2273</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2275</v>
      </c>
      <c r="C68" s="86" t="s">
        <v>191</v>
      </c>
      <c r="D68" s="86" t="s">
        <v>214</v>
      </c>
      <c r="E68" s="86" t="s">
        <v>2273</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2277</v>
      </c>
      <c r="C69" s="86" t="s">
        <v>191</v>
      </c>
      <c r="D69" s="86" t="s">
        <v>215</v>
      </c>
      <c r="E69" s="86"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2276</v>
      </c>
      <c r="C70" s="86" t="s">
        <v>191</v>
      </c>
      <c r="D70" s="86" t="s">
        <v>216</v>
      </c>
      <c r="E70" s="86"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2276</v>
      </c>
      <c r="C71" s="86" t="s">
        <v>191</v>
      </c>
      <c r="D71" s="86" t="s">
        <v>217</v>
      </c>
      <c r="E71" s="86"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86" t="s">
        <v>218</v>
      </c>
      <c r="F72" s="89">
        <f t="shared" ref="F72:U72" si="38">SUM(F66:F71)</f>
        <v>3680027941.1597633</v>
      </c>
      <c r="G72" s="89">
        <f t="shared" si="38"/>
        <v>1507275250.1284583</v>
      </c>
      <c r="H72" s="89">
        <f t="shared" ref="H72" si="39">SUM(H66:H71)</f>
        <v>1539319.1199130428</v>
      </c>
      <c r="I72" s="89">
        <f t="shared" si="38"/>
        <v>406389132.93413788</v>
      </c>
      <c r="J72" s="89">
        <f>SUM(J66:J71)</f>
        <v>26076880.560074221</v>
      </c>
      <c r="K72" s="89">
        <f>SUM(K66:K71)</f>
        <v>378974133.54397547</v>
      </c>
      <c r="L72" s="89">
        <f>SUM(L66:L71)</f>
        <v>16464600.063611977</v>
      </c>
      <c r="M72" s="89">
        <f t="shared" si="38"/>
        <v>364469463.35422486</v>
      </c>
      <c r="N72" s="89">
        <f t="shared" si="38"/>
        <v>667201689.75514746</v>
      </c>
      <c r="O72" s="89">
        <f t="shared" si="38"/>
        <v>217184194.05520666</v>
      </c>
      <c r="P72" s="89">
        <f t="shared" si="38"/>
        <v>89935675.936149001</v>
      </c>
      <c r="Q72" s="89">
        <f>SUM(Q66:Q71)</f>
        <v>586205.93836051854</v>
      </c>
      <c r="R72" s="89">
        <f t="shared" si="38"/>
        <v>21327.97645348038</v>
      </c>
      <c r="S72" s="89">
        <f t="shared" si="38"/>
        <v>348761.0555870012</v>
      </c>
      <c r="T72" s="89">
        <f t="shared" si="38"/>
        <v>44891.518000073098</v>
      </c>
      <c r="U72" s="89">
        <f t="shared" si="38"/>
        <v>3035.6304626292631</v>
      </c>
      <c r="V72" s="89">
        <f>SUM(V66:V71)</f>
        <v>3141952.7900000005</v>
      </c>
      <c r="W72" s="89">
        <f>SUM(W66:W71)</f>
        <v>371426.8</v>
      </c>
      <c r="X72" s="91">
        <f>SUM(G72:W72)</f>
        <v>3680027941.1597629</v>
      </c>
      <c r="Y72" s="87" t="str">
        <f>IF(ABS(F72-X72)&lt;0.01,"ok","err")</f>
        <v>ok</v>
      </c>
      <c r="Z72" s="203" t="str">
        <f>IF(Y72="err",X72-F72,"")</f>
        <v/>
      </c>
    </row>
    <row r="73" spans="1:26" ht="12" customHeight="1" x14ac:dyDescent="0.5">
      <c r="F73" s="90"/>
      <c r="G73" s="90"/>
      <c r="H73" s="90"/>
    </row>
    <row r="74" spans="1:26" ht="12" customHeight="1" x14ac:dyDescent="0.5">
      <c r="A74" s="23" t="s">
        <v>441</v>
      </c>
      <c r="F74" s="90"/>
      <c r="G74" s="90"/>
      <c r="H74" s="90"/>
    </row>
    <row r="75" spans="1:26" ht="12" customHeight="1" x14ac:dyDescent="0.5">
      <c r="A75" s="96" t="s">
        <v>2248</v>
      </c>
      <c r="C75" s="86" t="s">
        <v>191</v>
      </c>
      <c r="D75" s="86" t="s">
        <v>219</v>
      </c>
      <c r="E75" s="86" t="s">
        <v>2249</v>
      </c>
      <c r="F75" s="89">
        <f>VLOOKUP(C75,'WSS-26'!$C$1:$AU$617,13,)</f>
        <v>1036890044.1655744</v>
      </c>
      <c r="G75" s="89">
        <f t="shared" ref="G75:P77" si="40">IF(VLOOKUP($E75,$D$5:$W$977,3,)=0,0,(VLOOKUP($E75,$D$5:$W$977,G$1,)/VLOOKUP($E75,$D$5:$W$977,3,))*$F75)</f>
        <v>457204797.2692166</v>
      </c>
      <c r="H75" s="89">
        <f t="shared" si="40"/>
        <v>1468883.5376309974</v>
      </c>
      <c r="I75" s="89">
        <f t="shared" si="40"/>
        <v>117632810.98273394</v>
      </c>
      <c r="J75" s="89">
        <f t="shared" si="40"/>
        <v>12039046.72159134</v>
      </c>
      <c r="K75" s="89">
        <f t="shared" si="40"/>
        <v>104938744.20175318</v>
      </c>
      <c r="L75" s="89">
        <f t="shared" si="40"/>
        <v>4509303.491109971</v>
      </c>
      <c r="M75" s="89">
        <f t="shared" si="40"/>
        <v>92835619.470936596</v>
      </c>
      <c r="N75" s="89">
        <f t="shared" si="40"/>
        <v>151195325.76232815</v>
      </c>
      <c r="O75" s="89">
        <f t="shared" si="40"/>
        <v>52431270.403886661</v>
      </c>
      <c r="P75" s="89">
        <f t="shared" si="40"/>
        <v>35132972.825311884</v>
      </c>
      <c r="Q75" s="89">
        <f t="shared" ref="Q75:W77" si="41">IF(VLOOKUP($E75,$D$5:$W$977,3,)=0,0,(VLOOKUP($E75,$D$5:$W$977,Q$1,)/VLOOKUP($E75,$D$5:$W$977,3,))*$F75)</f>
        <v>7076167.297445246</v>
      </c>
      <c r="R75" s="89">
        <f t="shared" si="41"/>
        <v>257452.74761782473</v>
      </c>
      <c r="S75" s="89">
        <f t="shared" si="41"/>
        <v>69364.058451574689</v>
      </c>
      <c r="T75" s="89">
        <f t="shared" si="41"/>
        <v>97675.900970068324</v>
      </c>
      <c r="U75" s="89">
        <f t="shared" si="41"/>
        <v>609.49459048007952</v>
      </c>
      <c r="V75" s="89">
        <f t="shared" si="41"/>
        <v>0</v>
      </c>
      <c r="W75" s="89">
        <f t="shared" si="41"/>
        <v>0</v>
      </c>
      <c r="X75" s="91">
        <f>SUM(G75:W75)</f>
        <v>1036890044.1655746</v>
      </c>
      <c r="Y75" s="87" t="str">
        <f>IF(ABS(F75-X75)&lt;0.01,"ok","err")</f>
        <v>ok</v>
      </c>
      <c r="Z75" s="203" t="str">
        <f>IF(Y75="err",X75-F75,"")</f>
        <v/>
      </c>
    </row>
    <row r="76" spans="1:26" ht="12" hidden="1" customHeight="1" x14ac:dyDescent="0.5">
      <c r="A76" s="96" t="s">
        <v>2247</v>
      </c>
      <c r="C76" s="86" t="s">
        <v>191</v>
      </c>
      <c r="D76" s="86" t="s">
        <v>220</v>
      </c>
      <c r="E76" s="86" t="s">
        <v>2249</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2247</v>
      </c>
      <c r="C77" s="86" t="s">
        <v>191</v>
      </c>
      <c r="D77" s="86" t="s">
        <v>221</v>
      </c>
      <c r="E77" s="86" t="s">
        <v>2249</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86" t="s">
        <v>222</v>
      </c>
      <c r="F78" s="89">
        <f t="shared" ref="F78:U78" si="42">SUM(F75:F77)</f>
        <v>1036890044.1655744</v>
      </c>
      <c r="G78" s="89">
        <f t="shared" si="42"/>
        <v>457204797.2692166</v>
      </c>
      <c r="H78" s="89">
        <f t="shared" ref="H78" si="43">SUM(H75:H77)</f>
        <v>1468883.5376309974</v>
      </c>
      <c r="I78" s="89">
        <f t="shared" si="42"/>
        <v>117632810.98273394</v>
      </c>
      <c r="J78" s="89">
        <f>SUM(J75:J77)</f>
        <v>12039046.72159134</v>
      </c>
      <c r="K78" s="89">
        <f>SUM(K75:K77)</f>
        <v>104938744.20175318</v>
      </c>
      <c r="L78" s="89">
        <f>SUM(L75:L77)</f>
        <v>4509303.491109971</v>
      </c>
      <c r="M78" s="89">
        <f t="shared" si="42"/>
        <v>92835619.470936596</v>
      </c>
      <c r="N78" s="89">
        <f t="shared" si="42"/>
        <v>151195325.76232815</v>
      </c>
      <c r="O78" s="89">
        <f t="shared" si="42"/>
        <v>52431270.403886661</v>
      </c>
      <c r="P78" s="89">
        <f t="shared" si="42"/>
        <v>35132972.825311884</v>
      </c>
      <c r="Q78" s="89">
        <f>SUM(Q75:Q77)</f>
        <v>7076167.297445246</v>
      </c>
      <c r="R78" s="89">
        <f t="shared" si="42"/>
        <v>257452.74761782473</v>
      </c>
      <c r="S78" s="89">
        <f t="shared" si="42"/>
        <v>69364.058451574689</v>
      </c>
      <c r="T78" s="89">
        <f t="shared" si="42"/>
        <v>97675.900970068324</v>
      </c>
      <c r="U78" s="89">
        <f t="shared" si="42"/>
        <v>609.49459048007952</v>
      </c>
      <c r="V78" s="89">
        <f>SUM(V75:V77)</f>
        <v>0</v>
      </c>
      <c r="W78" s="89">
        <f>SUM(W75:W77)</f>
        <v>0</v>
      </c>
      <c r="X78" s="91">
        <f>SUM(G78:W78)</f>
        <v>1036890044.1655746</v>
      </c>
      <c r="Y78" s="87" t="str">
        <f>IF(ABS(F78-X78)&lt;0.01,"ok","err")</f>
        <v>ok</v>
      </c>
      <c r="Z78" s="203" t="str">
        <f>IF(Y78="err",X78-F78,"")</f>
        <v/>
      </c>
    </row>
    <row r="79" spans="1:26" ht="12" customHeight="1" x14ac:dyDescent="0.5">
      <c r="F79" s="90"/>
      <c r="G79" s="90"/>
      <c r="H79" s="90"/>
    </row>
    <row r="80" spans="1:26" ht="12" customHeight="1" x14ac:dyDescent="0.5">
      <c r="A80" s="23" t="s">
        <v>1628</v>
      </c>
      <c r="F80" s="90"/>
      <c r="G80" s="90"/>
      <c r="H80" s="90"/>
    </row>
    <row r="81" spans="1:26" ht="12" customHeight="1" x14ac:dyDescent="0.5">
      <c r="A81" s="96" t="s">
        <v>145</v>
      </c>
      <c r="C81" s="86" t="s">
        <v>191</v>
      </c>
      <c r="D81" s="86" t="s">
        <v>223</v>
      </c>
      <c r="E81" s="86" t="s">
        <v>2253</v>
      </c>
      <c r="F81" s="89">
        <f>VLOOKUP(C81,'WSS-26'!$C$1:$AU$617,17,)</f>
        <v>0</v>
      </c>
      <c r="G81" s="89">
        <f t="shared" ref="G81:W81" si="44">IF(VLOOKUP($E81,$D$5:$W$977,3,)=0,0,(VLOOKUP($E81,$D$5:$W$977,G$1,)/VLOOKUP($E81,$D$5:$W$977,3,))*$F81)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F82" s="90"/>
    </row>
    <row r="83" spans="1:26" ht="12" customHeight="1" x14ac:dyDescent="0.5">
      <c r="A83" s="23" t="s">
        <v>1629</v>
      </c>
      <c r="F83" s="90"/>
      <c r="G83" s="90"/>
      <c r="H83" s="90"/>
    </row>
    <row r="84" spans="1:26" ht="12" customHeight="1" x14ac:dyDescent="0.5">
      <c r="A84" s="96" t="s">
        <v>147</v>
      </c>
      <c r="C84" s="86" t="s">
        <v>191</v>
      </c>
      <c r="D84" s="86" t="s">
        <v>224</v>
      </c>
      <c r="E84" s="86" t="s">
        <v>2253</v>
      </c>
      <c r="F84" s="89">
        <f>VLOOKUP(C84,'WSS-26'!$C$1:$AU$617,18,)</f>
        <v>246738026.82718259</v>
      </c>
      <c r="G84" s="89">
        <f t="shared" ref="G84:W84" si="45">IF(VLOOKUP($E84,$D$5:$W$977,3,)=0,0,(VLOOKUP($E84,$D$5:$W$977,G$1,)/VLOOKUP($E84,$D$5:$W$977,3,))*$F84)</f>
        <v>118831500.65326105</v>
      </c>
      <c r="H84" s="89">
        <f t="shared" si="45"/>
        <v>381775.59838415682</v>
      </c>
      <c r="I84" s="89">
        <f t="shared" si="45"/>
        <v>30573789.992209353</v>
      </c>
      <c r="J84" s="89">
        <f t="shared" si="45"/>
        <v>3129052.8815668318</v>
      </c>
      <c r="K84" s="89">
        <f t="shared" si="45"/>
        <v>27274491.704032317</v>
      </c>
      <c r="L84" s="89">
        <f t="shared" si="45"/>
        <v>1172007.1704192183</v>
      </c>
      <c r="M84" s="89">
        <f t="shared" si="45"/>
        <v>24128784.390927177</v>
      </c>
      <c r="N84" s="89">
        <f t="shared" si="45"/>
        <v>39296979.295509696</v>
      </c>
      <c r="O84" s="89">
        <f t="shared" si="45"/>
        <v>0</v>
      </c>
      <c r="P84" s="89">
        <f t="shared" si="45"/>
        <v>0</v>
      </c>
      <c r="Q84" s="89">
        <f t="shared" si="45"/>
        <v>1839157.3838491843</v>
      </c>
      <c r="R84" s="89">
        <f t="shared" si="45"/>
        <v>66914.206783173751</v>
      </c>
      <c r="S84" s="89">
        <f t="shared" si="45"/>
        <v>18028.321676484098</v>
      </c>
      <c r="T84" s="89">
        <f t="shared" si="45"/>
        <v>25386.815622360984</v>
      </c>
      <c r="U84" s="89">
        <f t="shared" si="45"/>
        <v>158.41294155132246</v>
      </c>
      <c r="V84" s="89">
        <f t="shared" si="45"/>
        <v>0</v>
      </c>
      <c r="W84" s="89">
        <f t="shared" si="45"/>
        <v>0</v>
      </c>
      <c r="X84" s="91">
        <f>SUM(G84:W84)</f>
        <v>246738026.82718253</v>
      </c>
      <c r="Y84" s="87" t="str">
        <f>IF(ABS(F84-X84)&lt;0.01,"ok","err")</f>
        <v>ok</v>
      </c>
      <c r="Z84" s="203" t="str">
        <f>IF(Y84="err",X84-F84,"")</f>
        <v/>
      </c>
    </row>
    <row r="85" spans="1:26" ht="12" customHeight="1" x14ac:dyDescent="0.5">
      <c r="F85" s="90"/>
    </row>
    <row r="86" spans="1:26" ht="12" customHeight="1" x14ac:dyDescent="0.5">
      <c r="A86" s="23" t="s">
        <v>146</v>
      </c>
      <c r="F86" s="90"/>
    </row>
    <row r="87" spans="1:26" ht="12" customHeight="1" x14ac:dyDescent="0.5">
      <c r="A87" s="96" t="s">
        <v>792</v>
      </c>
      <c r="C87" s="86" t="s">
        <v>191</v>
      </c>
      <c r="D87" s="86" t="s">
        <v>225</v>
      </c>
      <c r="E87" s="86" t="s">
        <v>2253</v>
      </c>
      <c r="F87" s="89">
        <f>VLOOKUP(C87,'WSS-26'!$C$1:$AU$617,19,)</f>
        <v>0</v>
      </c>
      <c r="G87" s="89">
        <f t="shared" ref="G87:P91" si="46">IF(VLOOKUP($E87,$D$5:$W$977,3,)=0,0,(VLOOKUP($E87,$D$5:$W$977,G$1,)/VLOOKUP($E87,$D$5:$W$977,3,))*$F87)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IF(VLOOKUP($E87,$D$5:$W$977,3,)=0,0,(VLOOKUP($E87,$D$5:$W$977,Q$1,)/VLOOKUP($E87,$D$5:$W$977,3,))*$F87)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793</v>
      </c>
      <c r="C88" s="86" t="s">
        <v>191</v>
      </c>
      <c r="D88" s="86" t="s">
        <v>226</v>
      </c>
      <c r="E88" s="86" t="s">
        <v>2253</v>
      </c>
      <c r="F88" s="90">
        <f>VLOOKUP(C88,'WSS-26'!$C$1:$AU$617,20,)</f>
        <v>196243910.46797469</v>
      </c>
      <c r="G88" s="89">
        <f t="shared" si="46"/>
        <v>94513029.364975557</v>
      </c>
      <c r="H88" s="89">
        <f t="shared" si="46"/>
        <v>303646.49223945255</v>
      </c>
      <c r="I88" s="89">
        <f t="shared" si="46"/>
        <v>24316965.58107027</v>
      </c>
      <c r="J88" s="89">
        <f t="shared" si="46"/>
        <v>2488702.6188705429</v>
      </c>
      <c r="K88" s="89">
        <f t="shared" si="46"/>
        <v>21692857.711691681</v>
      </c>
      <c r="L88" s="89">
        <f t="shared" si="46"/>
        <v>932159.8019451896</v>
      </c>
      <c r="M88" s="89">
        <f t="shared" si="46"/>
        <v>19190908.935292333</v>
      </c>
      <c r="N88" s="89">
        <f t="shared" si="46"/>
        <v>31254983.213152081</v>
      </c>
      <c r="O88" s="89">
        <f t="shared" si="46"/>
        <v>0</v>
      </c>
      <c r="P88" s="89">
        <f t="shared" si="46"/>
        <v>0</v>
      </c>
      <c r="Q88" s="89">
        <f t="shared" si="47"/>
        <v>1462779.9436258269</v>
      </c>
      <c r="R88" s="89">
        <f t="shared" si="47"/>
        <v>53220.436970544921</v>
      </c>
      <c r="S88" s="89">
        <f t="shared" si="47"/>
        <v>14338.88562076328</v>
      </c>
      <c r="T88" s="89">
        <f t="shared" si="47"/>
        <v>20191.488260344362</v>
      </c>
      <c r="U88" s="89">
        <f t="shared" si="47"/>
        <v>125.99426006004431</v>
      </c>
      <c r="V88" s="89">
        <f t="shared" si="47"/>
        <v>0</v>
      </c>
      <c r="W88" s="89">
        <f t="shared" si="47"/>
        <v>0</v>
      </c>
      <c r="X88" s="91">
        <f t="shared" si="48"/>
        <v>196243910.46797466</v>
      </c>
      <c r="Y88" s="87" t="str">
        <f t="shared" si="49"/>
        <v>ok</v>
      </c>
      <c r="Z88" s="203" t="str">
        <f t="shared" si="50"/>
        <v/>
      </c>
    </row>
    <row r="89" spans="1:26" ht="12" customHeight="1" x14ac:dyDescent="0.5">
      <c r="A89" s="96" t="s">
        <v>794</v>
      </c>
      <c r="C89" s="86" t="s">
        <v>191</v>
      </c>
      <c r="D89" s="86" t="s">
        <v>227</v>
      </c>
      <c r="E89" s="86" t="s">
        <v>2452</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795</v>
      </c>
      <c r="C90" s="86" t="s">
        <v>191</v>
      </c>
      <c r="D90" s="86" t="s">
        <v>228</v>
      </c>
      <c r="E90" s="86" t="s">
        <v>734</v>
      </c>
      <c r="F90" s="90">
        <f>VLOOKUP(C90,'WSS-26'!$C$1:$AU$617,22,)</f>
        <v>88346006.220280528</v>
      </c>
      <c r="G90" s="89">
        <f t="shared" si="46"/>
        <v>72963230.036665082</v>
      </c>
      <c r="H90" s="89">
        <f t="shared" si="46"/>
        <v>219406.21018685156</v>
      </c>
      <c r="I90" s="89">
        <f t="shared" si="46"/>
        <v>13642698.419501837</v>
      </c>
      <c r="J90" s="89">
        <f t="shared" si="46"/>
        <v>988894.75142775825</v>
      </c>
      <c r="K90" s="89">
        <f t="shared" si="46"/>
        <v>0</v>
      </c>
      <c r="L90" s="89">
        <f t="shared" si="46"/>
        <v>0</v>
      </c>
      <c r="M90" s="89">
        <f t="shared" si="46"/>
        <v>0</v>
      </c>
      <c r="N90" s="89">
        <f t="shared" si="46"/>
        <v>0</v>
      </c>
      <c r="O90" s="89">
        <f t="shared" si="46"/>
        <v>0</v>
      </c>
      <c r="P90" s="89">
        <f t="shared" si="46"/>
        <v>0</v>
      </c>
      <c r="Q90" s="89">
        <f t="shared" si="47"/>
        <v>508258.80290708481</v>
      </c>
      <c r="R90" s="89">
        <f t="shared" si="47"/>
        <v>18492.019734555739</v>
      </c>
      <c r="S90" s="89">
        <f t="shared" si="47"/>
        <v>4982.2017811962578</v>
      </c>
      <c r="T90" s="89">
        <f t="shared" si="47"/>
        <v>0</v>
      </c>
      <c r="U90" s="89">
        <f t="shared" si="47"/>
        <v>43.778076169509355</v>
      </c>
      <c r="V90" s="89">
        <f t="shared" si="47"/>
        <v>0</v>
      </c>
      <c r="W90" s="89">
        <f t="shared" si="47"/>
        <v>0</v>
      </c>
      <c r="X90" s="91">
        <f t="shared" si="48"/>
        <v>88346006.220280543</v>
      </c>
      <c r="Y90" s="87" t="str">
        <f t="shared" si="49"/>
        <v>ok</v>
      </c>
      <c r="Z90" s="203" t="str">
        <f t="shared" si="50"/>
        <v/>
      </c>
    </row>
    <row r="91" spans="1:26" ht="12" customHeight="1" x14ac:dyDescent="0.5">
      <c r="A91" s="96" t="s">
        <v>796</v>
      </c>
      <c r="C91" s="86" t="s">
        <v>191</v>
      </c>
      <c r="D91" s="86" t="s">
        <v>229</v>
      </c>
      <c r="E91" s="86" t="s">
        <v>2451</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86" t="s">
        <v>230</v>
      </c>
      <c r="F92" s="89">
        <f>SUM(F87:F91)</f>
        <v>844390635.62993526</v>
      </c>
      <c r="G92" s="89">
        <f t="shared" ref="G92:U92" si="51">SUM(G87:G91)</f>
        <v>610768895.69923258</v>
      </c>
      <c r="H92" s="89">
        <f t="shared" ref="H92" si="52">SUM(H87:H91)</f>
        <v>8434711.4356986303</v>
      </c>
      <c r="I92" s="89">
        <f t="shared" si="51"/>
        <v>122373757.6257419</v>
      </c>
      <c r="J92" s="89">
        <f>SUM(J87:J91)</f>
        <v>3910162.5931103532</v>
      </c>
      <c r="K92" s="89">
        <f>SUM(K87:K91)</f>
        <v>24770624.169641767</v>
      </c>
      <c r="L92" s="89">
        <f>SUM(L87:L91)</f>
        <v>1073507.0233368641</v>
      </c>
      <c r="M92" s="89">
        <f t="shared" si="51"/>
        <v>19720961.015511114</v>
      </c>
      <c r="N92" s="89">
        <f t="shared" si="51"/>
        <v>31432360.118427906</v>
      </c>
      <c r="O92" s="89">
        <f t="shared" si="51"/>
        <v>0</v>
      </c>
      <c r="P92" s="89">
        <f t="shared" si="51"/>
        <v>0</v>
      </c>
      <c r="Q92" s="89">
        <f>SUM(Q87:Q91)</f>
        <v>21614782.236252248</v>
      </c>
      <c r="R92" s="89">
        <f t="shared" si="51"/>
        <v>83954.868671479504</v>
      </c>
      <c r="S92" s="89">
        <f t="shared" si="51"/>
        <v>170310.83498729859</v>
      </c>
      <c r="T92" s="89">
        <f t="shared" si="51"/>
        <v>22963.002405279156</v>
      </c>
      <c r="U92" s="89">
        <f t="shared" si="51"/>
        <v>13645.006917857309</v>
      </c>
      <c r="V92" s="89">
        <f>SUM(V87:V91)</f>
        <v>0</v>
      </c>
      <c r="W92" s="89">
        <f>SUM(W87:W91)</f>
        <v>0</v>
      </c>
      <c r="X92" s="91">
        <f t="shared" si="48"/>
        <v>844390635.62993526</v>
      </c>
      <c r="Y92" s="87" t="str">
        <f t="shared" si="49"/>
        <v>ok</v>
      </c>
      <c r="Z92" s="91" t="str">
        <f t="shared" si="50"/>
        <v/>
      </c>
    </row>
    <row r="93" spans="1:26" ht="12" customHeight="1" x14ac:dyDescent="0.5">
      <c r="F93" s="90"/>
    </row>
    <row r="94" spans="1:26" ht="12" customHeight="1" x14ac:dyDescent="0.5">
      <c r="A94" s="23" t="s">
        <v>791</v>
      </c>
      <c r="F94" s="90"/>
    </row>
    <row r="95" spans="1:26" ht="12" customHeight="1" x14ac:dyDescent="0.5">
      <c r="A95" s="96" t="s">
        <v>389</v>
      </c>
      <c r="C95" s="86" t="s">
        <v>191</v>
      </c>
      <c r="D95" s="86" t="s">
        <v>231</v>
      </c>
      <c r="E95" s="86" t="s">
        <v>2178</v>
      </c>
      <c r="F95" s="89">
        <f>VLOOKUP(C95,'WSS-26'!$C$1:$AU$617,24,)</f>
        <v>128785003.65333001</v>
      </c>
      <c r="G95" s="89">
        <f t="shared" ref="G95:P96" si="53">IF(VLOOKUP($E95,$D$5:$W$977,3,)=0,0,(VLOOKUP($E95,$D$5:$W$977,G$1,)/VLOOKUP($E95,$D$5:$W$977,3,))*$F95)</f>
        <v>87785686.241892025</v>
      </c>
      <c r="H95" s="89">
        <f t="shared" si="53"/>
        <v>263978.50968641019</v>
      </c>
      <c r="I95" s="89">
        <f t="shared" si="53"/>
        <v>16414208.120245175</v>
      </c>
      <c r="J95" s="89">
        <f t="shared" si="53"/>
        <v>1189788.3952158822</v>
      </c>
      <c r="K95" s="89">
        <f t="shared" si="53"/>
        <v>12127221.828067049</v>
      </c>
      <c r="L95" s="89">
        <f t="shared" si="53"/>
        <v>0</v>
      </c>
      <c r="M95" s="89">
        <f t="shared" si="53"/>
        <v>10349939.09830614</v>
      </c>
      <c r="N95" s="89">
        <f t="shared" si="53"/>
        <v>0</v>
      </c>
      <c r="O95" s="89">
        <f t="shared" si="53"/>
        <v>0</v>
      </c>
      <c r="P95" s="89">
        <f t="shared" si="53"/>
        <v>0</v>
      </c>
      <c r="Q95" s="89">
        <f t="shared" ref="Q95:W96" si="54">IF(VLOOKUP($E95,$D$5:$W$977,3,)=0,0,(VLOOKUP($E95,$D$5:$W$977,Q$1,)/VLOOKUP($E95,$D$5:$W$977,3,))*$F95)</f>
        <v>611511.41169682145</v>
      </c>
      <c r="R95" s="89">
        <f t="shared" si="54"/>
        <v>22248.667466898551</v>
      </c>
      <c r="S95" s="89">
        <f t="shared" si="54"/>
        <v>5994.3344358262038</v>
      </c>
      <c r="T95" s="89">
        <f t="shared" si="54"/>
        <v>14374.37473980614</v>
      </c>
      <c r="U95" s="89">
        <f t="shared" si="54"/>
        <v>52.671577957266848</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86" t="s">
        <v>232</v>
      </c>
      <c r="E96" s="86" t="s">
        <v>2453</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1469</v>
      </c>
      <c r="D97" s="86" t="s">
        <v>233</v>
      </c>
      <c r="F97" s="89">
        <f t="shared" ref="F97:U97" si="55">F95+F96</f>
        <v>235783062.05950499</v>
      </c>
      <c r="G97" s="89">
        <f t="shared" si="55"/>
        <v>172305946.39105919</v>
      </c>
      <c r="H97" s="89">
        <f t="shared" ref="H97" si="56">H95+H96</f>
        <v>1772452.5956369326</v>
      </c>
      <c r="I97" s="89">
        <f t="shared" si="55"/>
        <v>32508996.459264249</v>
      </c>
      <c r="J97" s="89">
        <f>J95+J96</f>
        <v>1272263.3162272326</v>
      </c>
      <c r="K97" s="89">
        <f>K95+K96</f>
        <v>12991263.335454827</v>
      </c>
      <c r="L97" s="89">
        <f>L95+L96</f>
        <v>0</v>
      </c>
      <c r="M97" s="89">
        <f t="shared" si="55"/>
        <v>10498744.085508222</v>
      </c>
      <c r="N97" s="89">
        <f t="shared" si="55"/>
        <v>0</v>
      </c>
      <c r="O97" s="89">
        <f t="shared" si="55"/>
        <v>0</v>
      </c>
      <c r="P97" s="89">
        <f t="shared" si="55"/>
        <v>0</v>
      </c>
      <c r="Q97" s="89">
        <f>Q95+Q96</f>
        <v>4356879.9879074944</v>
      </c>
      <c r="R97" s="89">
        <f t="shared" si="55"/>
        <v>24582.863344578276</v>
      </c>
      <c r="S97" s="89">
        <f t="shared" si="55"/>
        <v>34782.750260542816</v>
      </c>
      <c r="T97" s="89">
        <f t="shared" si="55"/>
        <v>15152.440032366048</v>
      </c>
      <c r="U97" s="89">
        <f t="shared" si="55"/>
        <v>1997.8348093570382</v>
      </c>
      <c r="V97" s="89">
        <f>V95+V96</f>
        <v>0</v>
      </c>
      <c r="W97" s="89">
        <f>W95+W96</f>
        <v>0</v>
      </c>
      <c r="X97" s="91">
        <f>SUM(G97:W97)</f>
        <v>235783062.05950499</v>
      </c>
      <c r="Y97" s="87" t="str">
        <f>IF(ABS(F97-X97)&lt;0.01,"ok","err")</f>
        <v>ok</v>
      </c>
      <c r="Z97" s="91" t="str">
        <f>IF(Y97="err",X97-F97,"")</f>
        <v/>
      </c>
    </row>
    <row r="98" spans="1:26" ht="12" customHeight="1" x14ac:dyDescent="0.5">
      <c r="F98" s="90"/>
    </row>
    <row r="99" spans="1:26" ht="12" customHeight="1" x14ac:dyDescent="0.5">
      <c r="A99" s="23" t="s">
        <v>128</v>
      </c>
      <c r="F99" s="90"/>
    </row>
    <row r="100" spans="1:26" ht="12" customHeight="1" x14ac:dyDescent="0.5">
      <c r="A100" s="96" t="s">
        <v>392</v>
      </c>
      <c r="C100" s="86" t="s">
        <v>191</v>
      </c>
      <c r="D100" s="86" t="s">
        <v>234</v>
      </c>
      <c r="E100" s="86" t="s">
        <v>393</v>
      </c>
      <c r="F100" s="89">
        <f>VLOOKUP(C100,'WSS-26'!$C$1:$AU$617,26,)</f>
        <v>90212968.024259329</v>
      </c>
      <c r="G100" s="89">
        <f t="shared" ref="G100:W100" si="57">IF(VLOOKUP($E100,$D$5:$W$977,3,)=0,0,(VLOOKUP($E100,$D$5:$W$977,G$1,)/VLOOKUP($E100,$D$5:$W$977,3,))*$F100)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F101" s="90"/>
    </row>
    <row r="102" spans="1:26" ht="12" customHeight="1" x14ac:dyDescent="0.5">
      <c r="A102" s="23" t="s">
        <v>127</v>
      </c>
      <c r="F102" s="90"/>
    </row>
    <row r="103" spans="1:26" ht="12" customHeight="1" x14ac:dyDescent="0.5">
      <c r="A103" s="96" t="s">
        <v>392</v>
      </c>
      <c r="C103" s="86" t="s">
        <v>191</v>
      </c>
      <c r="D103" s="86" t="s">
        <v>235</v>
      </c>
      <c r="E103" s="86" t="s">
        <v>2433</v>
      </c>
      <c r="F103" s="89">
        <f>VLOOKUP(C103,'WSS-26'!$C$1:$AU$617,27,)</f>
        <v>53653152.478743747</v>
      </c>
      <c r="G103" s="89">
        <f t="shared" ref="G103:W103" si="58">IF(VLOOKUP($E103,$D$5:$W$977,3,)=0,0,(VLOOKUP($E103,$D$5:$W$977,G$1,)/VLOOKUP($E103,$D$5:$W$977,3,))*$F103)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F104" s="90"/>
    </row>
    <row r="105" spans="1:26" ht="12" customHeight="1" x14ac:dyDescent="0.5">
      <c r="A105" s="23" t="s">
        <v>144</v>
      </c>
      <c r="F105" s="90"/>
    </row>
    <row r="106" spans="1:26" ht="12" customHeight="1" x14ac:dyDescent="0.5">
      <c r="A106" s="96" t="s">
        <v>392</v>
      </c>
      <c r="C106" s="86" t="s">
        <v>191</v>
      </c>
      <c r="D106" s="86" t="s">
        <v>236</v>
      </c>
      <c r="E106" s="86" t="s">
        <v>2448</v>
      </c>
      <c r="F106" s="89">
        <f>VLOOKUP(C106,'WSS-26'!$C$1:$AU$617,28,)</f>
        <v>103312450.6550363</v>
      </c>
      <c r="G106" s="89">
        <f t="shared" ref="G106:W106" si="59">IF(VLOOKUP($E106,$D$5:$W$977,3,)=0,0,(VLOOKUP($E106,$D$5:$W$977,G$1,)/VLOOKUP($E106,$D$5:$W$977,3,))*$F106)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F107" s="90"/>
    </row>
    <row r="108" spans="1:26" ht="12" customHeight="1" x14ac:dyDescent="0.5">
      <c r="A108" s="23" t="s">
        <v>292</v>
      </c>
      <c r="F108" s="90"/>
    </row>
    <row r="109" spans="1:26" ht="12" customHeight="1" x14ac:dyDescent="0.5">
      <c r="A109" s="96" t="s">
        <v>392</v>
      </c>
      <c r="C109" s="86" t="s">
        <v>191</v>
      </c>
      <c r="D109" s="86" t="s">
        <v>237</v>
      </c>
      <c r="E109" s="86" t="s">
        <v>2447</v>
      </c>
      <c r="F109" s="89">
        <f>VLOOKUP(C109,'WSS-26'!$C$1:$AU$617,30,)</f>
        <v>0</v>
      </c>
      <c r="G109" s="89">
        <f t="shared" ref="G109:W109" si="60">IF(VLOOKUP($E109,$D$5:$W$977,3,)=0,0,(VLOOKUP($E109,$D$5:$W$977,G$1,)/VLOOKUP($E109,$D$5:$W$977,3,))*$F109)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F110" s="90"/>
    </row>
    <row r="111" spans="1:26" ht="12" customHeight="1" x14ac:dyDescent="0.5">
      <c r="A111" s="23" t="s">
        <v>1631</v>
      </c>
      <c r="F111" s="90"/>
    </row>
    <row r="112" spans="1:26" ht="12" customHeight="1" x14ac:dyDescent="0.5">
      <c r="A112" s="96" t="s">
        <v>392</v>
      </c>
      <c r="C112" s="86" t="s">
        <v>191</v>
      </c>
      <c r="D112" s="86" t="s">
        <v>238</v>
      </c>
      <c r="E112" s="86" t="s">
        <v>2447</v>
      </c>
      <c r="F112" s="89">
        <f>VLOOKUP(C112,'WSS-26'!$C$1:$AU$617,32,)</f>
        <v>0</v>
      </c>
      <c r="G112" s="89">
        <f t="shared" ref="G112:W112" si="61">IF(VLOOKUP($E112,$D$5:$W$977,3,)=0,0,(VLOOKUP($E112,$D$5:$W$977,G$1,)/VLOOKUP($E112,$D$5:$W$977,3,))*$F112)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F113" s="90"/>
    </row>
    <row r="114" spans="1:26" ht="12" customHeight="1" x14ac:dyDescent="0.5">
      <c r="A114" s="23" t="s">
        <v>1630</v>
      </c>
      <c r="F114" s="90"/>
    </row>
    <row r="115" spans="1:26" ht="12" customHeight="1" x14ac:dyDescent="0.5">
      <c r="A115" s="96" t="s">
        <v>392</v>
      </c>
      <c r="C115" s="86" t="s">
        <v>191</v>
      </c>
      <c r="D115" s="86" t="s">
        <v>239</v>
      </c>
      <c r="E115" s="86" t="s">
        <v>2450</v>
      </c>
      <c r="F115" s="89">
        <f>VLOOKUP(C115,'WSS-26'!$C$1:$AU$617,34,)</f>
        <v>0</v>
      </c>
      <c r="G115" s="89">
        <f t="shared" ref="G115:W115" si="62">IF(VLOOKUP($E115,$D$5:$W$977,3,)=0,0,(VLOOKUP($E115,$D$5:$W$977,G$1,)/VLOOKUP($E115,$D$5:$W$977,3,))*$F115)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F116" s="90"/>
    </row>
    <row r="117" spans="1:26" ht="12" customHeight="1" x14ac:dyDescent="0.5">
      <c r="A117" s="86" t="s">
        <v>62</v>
      </c>
      <c r="D117" s="86" t="s">
        <v>240</v>
      </c>
      <c r="F117" s="89">
        <f>F72+F78+F81+F84+F92+F97+F100+F103+F106+F109+F112+F115</f>
        <v>6291008281</v>
      </c>
      <c r="G117" s="89">
        <f t="shared" ref="G117:U117" si="63">G72+G78+G81+G84+G92+G97+G100+G103+G106+G109+G112+G115</f>
        <v>2969922291.6479273</v>
      </c>
      <c r="H117" s="89">
        <f t="shared" ref="H117" si="64">H72+H78+H81+H84+H92+H97+H100+H103+H106+H109+H112+H115</f>
        <v>13748626.795509305</v>
      </c>
      <c r="I117" s="89">
        <f t="shared" si="63"/>
        <v>738568265.05039346</v>
      </c>
      <c r="J117" s="89">
        <f>J72+J78+J81+J84+J92+J97+J100+J103+J106+J109+J112+J115</f>
        <v>46838915.072428353</v>
      </c>
      <c r="K117" s="89">
        <f>K72+K78+K81+K84+K92+K97+K100+K103+K106+K109+K112+K115</f>
        <v>555114078.52233505</v>
      </c>
      <c r="L117" s="89">
        <f>L72+L78+L81+L84+L92+L97+L100+L103+L106+L109+L112+L115</f>
        <v>24017394.84321655</v>
      </c>
      <c r="M117" s="89">
        <f t="shared" si="63"/>
        <v>512979739.07901955</v>
      </c>
      <c r="N117" s="89">
        <f t="shared" si="63"/>
        <v>890539948.73053479</v>
      </c>
      <c r="O117" s="89">
        <f t="shared" si="63"/>
        <v>270316314.16920477</v>
      </c>
      <c r="P117" s="89">
        <f>P72+P78+P81+P84+P92+P97+P100+P103+P106+P109+P112+P115</f>
        <v>125111911.90723915</v>
      </c>
      <c r="Q117" s="89">
        <f>Q72+Q78+Q81+Q84+Q92+Q97+Q100+Q103+Q106+Q109+Q112+Q115</f>
        <v>138785643.498851</v>
      </c>
      <c r="R117" s="89">
        <f t="shared" si="63"/>
        <v>462128.93514089769</v>
      </c>
      <c r="S117" s="89">
        <f t="shared" si="63"/>
        <v>738561.26533188799</v>
      </c>
      <c r="T117" s="89">
        <f t="shared" si="63"/>
        <v>211622.69314540835</v>
      </c>
      <c r="U117" s="89">
        <f t="shared" si="63"/>
        <v>139459.19972187502</v>
      </c>
      <c r="V117" s="89">
        <f>V72+V78+V81+V84+V92+V97+V100+V103+V106+V109+V112+V115</f>
        <v>3141952.7900000005</v>
      </c>
      <c r="W117" s="89">
        <f>W72+W78+W81+W84+W92+W97+W100+W103+W106+W109+W112+W115</f>
        <v>371426.8</v>
      </c>
      <c r="X117" s="91">
        <f>SUM(G117:W117)</f>
        <v>6291008281</v>
      </c>
      <c r="Y117" s="87" t="str">
        <f>IF(ABS(F117-X117)&lt;0.01,"ok","err")</f>
        <v>ok</v>
      </c>
      <c r="Z117" s="203" t="str">
        <f>IF(Y117="err",X117-F117,"")</f>
        <v/>
      </c>
    </row>
    <row r="118" spans="1:26" ht="12" customHeight="1" x14ac:dyDescent="0.5">
      <c r="Z118" s="203"/>
    </row>
    <row r="120" spans="1:26" ht="12" customHeight="1" x14ac:dyDescent="0.5">
      <c r="A120" s="22" t="s">
        <v>400</v>
      </c>
    </row>
    <row r="122" spans="1:26" ht="12" customHeight="1" x14ac:dyDescent="0.5">
      <c r="A122" s="23" t="s">
        <v>137</v>
      </c>
    </row>
    <row r="123" spans="1:26" ht="12" customHeight="1" x14ac:dyDescent="0.5">
      <c r="A123" s="96" t="s">
        <v>2274</v>
      </c>
      <c r="C123" s="86" t="s">
        <v>778</v>
      </c>
      <c r="D123" s="86" t="s">
        <v>241</v>
      </c>
      <c r="E123" s="86" t="s">
        <v>2386</v>
      </c>
      <c r="F123" s="89">
        <f>VLOOKUP(C123,'WSS-26'!$C$1:$AU$617,6,)</f>
        <v>2975438420.0715351</v>
      </c>
      <c r="G123" s="89">
        <f t="shared" ref="G123:P128" si="65">IF(VLOOKUP($E123,$D$5:$W$977,3,)=0,0,(VLOOKUP($E123,$D$5:$W$977,G$1,)/VLOOKUP($E123,$D$5:$W$977,3,))*$F123)</f>
        <v>1218676519.1335526</v>
      </c>
      <c r="H123" s="89">
        <f t="shared" si="65"/>
        <v>1244584.9334628652</v>
      </c>
      <c r="I123" s="89">
        <f t="shared" si="65"/>
        <v>328577606.44293022</v>
      </c>
      <c r="J123" s="89">
        <f t="shared" si="65"/>
        <v>21083927.456583828</v>
      </c>
      <c r="K123" s="89">
        <f t="shared" si="65"/>
        <v>306411770.42458898</v>
      </c>
      <c r="L123" s="89">
        <f t="shared" si="65"/>
        <v>13312115.018632902</v>
      </c>
      <c r="M123" s="89">
        <f t="shared" si="65"/>
        <v>294684316.54612917</v>
      </c>
      <c r="N123" s="89">
        <f t="shared" si="65"/>
        <v>539452255.16144478</v>
      </c>
      <c r="O123" s="89">
        <f t="shared" si="65"/>
        <v>175599829.95771211</v>
      </c>
      <c r="P123" s="89">
        <f t="shared" si="65"/>
        <v>72715647.97899279</v>
      </c>
      <c r="Q123" s="89">
        <f t="shared" ref="Q123:W128" si="66">IF(VLOOKUP($E123,$D$5:$W$977,3,)=0,0,(VLOOKUP($E123,$D$5:$W$977,Q$1,)/VLOOKUP($E123,$D$5:$W$977,3,))*$F123)</f>
        <v>473964.79998973641</v>
      </c>
      <c r="R123" s="89">
        <f t="shared" si="66"/>
        <v>17244.298347149714</v>
      </c>
      <c r="S123" s="89">
        <f t="shared" si="66"/>
        <v>281983.60531421646</v>
      </c>
      <c r="T123" s="89">
        <f t="shared" si="66"/>
        <v>36296.117043179584</v>
      </c>
      <c r="U123" s="89">
        <f t="shared" si="66"/>
        <v>2454.3968099108101</v>
      </c>
      <c r="V123" s="89">
        <f t="shared" si="66"/>
        <v>2576969.3631635425</v>
      </c>
      <c r="W123" s="89">
        <f t="shared" si="66"/>
        <v>290934.43683645804</v>
      </c>
      <c r="X123" s="91">
        <f t="shared" ref="X123:X128" si="67">SUM(G123:W123)</f>
        <v>2975438420.0715337</v>
      </c>
      <c r="Y123" s="87" t="str">
        <f t="shared" ref="Y123:Y128" si="68">IF(ABS(F123-X123)&lt;0.01,"ok","err")</f>
        <v>ok</v>
      </c>
      <c r="Z123" s="203" t="str">
        <f t="shared" ref="Z123:Z128" si="69">IF(Y123="err",X123-F123,"")</f>
        <v/>
      </c>
    </row>
    <row r="124" spans="1:26" ht="12" hidden="1" customHeight="1" x14ac:dyDescent="0.5">
      <c r="A124" s="96" t="s">
        <v>2275</v>
      </c>
      <c r="C124" s="86" t="s">
        <v>778</v>
      </c>
      <c r="D124" s="86" t="s">
        <v>242</v>
      </c>
      <c r="E124" s="86" t="s">
        <v>2273</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2275</v>
      </c>
      <c r="C125" s="86" t="s">
        <v>778</v>
      </c>
      <c r="D125" s="86" t="s">
        <v>243</v>
      </c>
      <c r="E125" s="86" t="s">
        <v>2273</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2277</v>
      </c>
      <c r="C126" s="86" t="s">
        <v>778</v>
      </c>
      <c r="D126" s="86" t="s">
        <v>244</v>
      </c>
      <c r="E126" s="86" t="s">
        <v>390</v>
      </c>
      <c r="F126" s="90">
        <f>VLOOKUP(C126,'WSS-26'!$C$1:$AU$617,9,)</f>
        <v>79624711.105574101</v>
      </c>
      <c r="G126" s="89">
        <f t="shared" si="65"/>
        <v>27448762.011031896</v>
      </c>
      <c r="H126" s="89">
        <f t="shared" si="65"/>
        <v>45133.580634481841</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2276</v>
      </c>
      <c r="C127" s="86" t="s">
        <v>778</v>
      </c>
      <c r="D127" s="86" t="s">
        <v>245</v>
      </c>
      <c r="E127" s="86"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2276</v>
      </c>
      <c r="C128" s="86" t="s">
        <v>778</v>
      </c>
      <c r="D128" s="86" t="s">
        <v>246</v>
      </c>
      <c r="E128" s="86"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86" t="s">
        <v>401</v>
      </c>
      <c r="F129" s="89">
        <f t="shared" ref="F129:U129" si="70">SUM(F123:F128)</f>
        <v>3055063131.1771092</v>
      </c>
      <c r="G129" s="89">
        <f t="shared" si="70"/>
        <v>1246125281.1445844</v>
      </c>
      <c r="H129" s="89">
        <f t="shared" ref="H129" si="71">SUM(H123:H128)</f>
        <v>1289718.5140973469</v>
      </c>
      <c r="I129" s="89">
        <f t="shared" si="70"/>
        <v>336340363.70865309</v>
      </c>
      <c r="J129" s="89">
        <f>SUM(J123:J128)</f>
        <v>21678567.231235191</v>
      </c>
      <c r="K129" s="89">
        <f>SUM(K123:K128)</f>
        <v>314271869.93399322</v>
      </c>
      <c r="L129" s="89">
        <f>SUM(L123:L128)</f>
        <v>13667337.025543904</v>
      </c>
      <c r="M129" s="89">
        <f t="shared" si="70"/>
        <v>302937649.79331982</v>
      </c>
      <c r="N129" s="89">
        <f t="shared" si="70"/>
        <v>557284856.24287391</v>
      </c>
      <c r="O129" s="89">
        <f t="shared" si="70"/>
        <v>181806220.97440854</v>
      </c>
      <c r="P129" s="89">
        <f t="shared" si="70"/>
        <v>75392789.415739268</v>
      </c>
      <c r="Q129" s="89">
        <f>SUM(Q123:Q128)</f>
        <v>1029745.532242024</v>
      </c>
      <c r="R129" s="89">
        <f t="shared" si="70"/>
        <v>37465.312019589997</v>
      </c>
      <c r="S129" s="89">
        <f t="shared" si="70"/>
        <v>293051.50351993245</v>
      </c>
      <c r="T129" s="89">
        <f t="shared" si="70"/>
        <v>37805.995744336011</v>
      </c>
      <c r="U129" s="89">
        <f t="shared" si="70"/>
        <v>2505.0491337957474</v>
      </c>
      <c r="V129" s="89">
        <f>SUM(V123:V128)</f>
        <v>2576969.3631635425</v>
      </c>
      <c r="W129" s="89">
        <f>SUM(W123:W128)</f>
        <v>290934.43683645804</v>
      </c>
      <c r="X129" s="91">
        <f>SUM(G129:W129)</f>
        <v>3055063131.1771083</v>
      </c>
      <c r="Y129" s="87" t="str">
        <f>IF(ABS(F129-X129)&lt;0.01,"ok","err")</f>
        <v>ok</v>
      </c>
      <c r="Z129" s="203" t="str">
        <f>IF(Y129="err",X129-F129,"")</f>
        <v/>
      </c>
    </row>
    <row r="130" spans="1:27" ht="12" customHeight="1" x14ac:dyDescent="0.5">
      <c r="F130" s="90"/>
      <c r="G130" s="90"/>
      <c r="H130" s="90"/>
    </row>
    <row r="131" spans="1:27" ht="12" customHeight="1" x14ac:dyDescent="0.5">
      <c r="A131" s="23" t="s">
        <v>441</v>
      </c>
      <c r="F131" s="90"/>
      <c r="G131" s="90"/>
      <c r="H131" s="90"/>
    </row>
    <row r="132" spans="1:27" ht="12" customHeight="1" x14ac:dyDescent="0.5">
      <c r="A132" s="96" t="s">
        <v>2248</v>
      </c>
      <c r="C132" s="86" t="s">
        <v>778</v>
      </c>
      <c r="D132" s="86" t="s">
        <v>247</v>
      </c>
      <c r="E132" s="86" t="s">
        <v>2249</v>
      </c>
      <c r="F132" s="89">
        <f>VLOOKUP(C132,'WSS-26'!$C$1:$AU$617,13,)</f>
        <v>853028865.43738949</v>
      </c>
      <c r="G132" s="89">
        <f t="shared" ref="G132:P134" si="72">IF(VLOOKUP($E132,$D$5:$W$977,3,)=0,0,(VLOOKUP($E132,$D$5:$W$977,G$1,)/VLOOKUP($E132,$D$5:$W$977,3,))*$F132)</f>
        <v>376133314.88870335</v>
      </c>
      <c r="H132" s="89">
        <f t="shared" si="72"/>
        <v>1208421.3409275874</v>
      </c>
      <c r="I132" s="89">
        <f t="shared" si="72"/>
        <v>96774179.533726037</v>
      </c>
      <c r="J132" s="89">
        <f t="shared" si="72"/>
        <v>9904284.8599546272</v>
      </c>
      <c r="K132" s="89">
        <f t="shared" si="72"/>
        <v>86331022.667772606</v>
      </c>
      <c r="L132" s="89">
        <f t="shared" si="72"/>
        <v>3709714.5088608493</v>
      </c>
      <c r="M132" s="89">
        <f t="shared" si="72"/>
        <v>76374022.101059631</v>
      </c>
      <c r="N132" s="89">
        <f t="shared" si="72"/>
        <v>124385394.49789551</v>
      </c>
      <c r="O132" s="89">
        <f t="shared" si="72"/>
        <v>43134165.823783822</v>
      </c>
      <c r="P132" s="89">
        <f t="shared" si="72"/>
        <v>28903199.637465902</v>
      </c>
      <c r="Q132" s="89">
        <f t="shared" ref="Q132:W134" si="73">IF(VLOOKUP($E132,$D$5:$W$977,3,)=0,0,(VLOOKUP($E132,$D$5:$W$977,Q$1,)/VLOOKUP($E132,$D$5:$W$977,3,))*$F132)</f>
        <v>5821422.4308059784</v>
      </c>
      <c r="R132" s="89">
        <f t="shared" si="73"/>
        <v>211801.26710629574</v>
      </c>
      <c r="S132" s="89">
        <f t="shared" si="73"/>
        <v>57064.434571455015</v>
      </c>
      <c r="T132" s="89">
        <f t="shared" si="73"/>
        <v>80356.025649878153</v>
      </c>
      <c r="U132" s="89">
        <f t="shared" si="73"/>
        <v>501.41910604016408</v>
      </c>
      <c r="V132" s="89">
        <f t="shared" si="73"/>
        <v>0</v>
      </c>
      <c r="W132" s="89">
        <f t="shared" si="73"/>
        <v>0</v>
      </c>
      <c r="X132" s="91">
        <f>SUM(G132:W132)</f>
        <v>853028865.43738973</v>
      </c>
      <c r="Y132" s="87" t="str">
        <f>IF(ABS(F132-X132)&lt;0.01,"ok","err")</f>
        <v>ok</v>
      </c>
      <c r="Z132" s="203" t="str">
        <f>IF(Y132="err",X132-F132,"")</f>
        <v/>
      </c>
    </row>
    <row r="133" spans="1:27" ht="12" hidden="1" customHeight="1" x14ac:dyDescent="0.5">
      <c r="A133" s="96" t="s">
        <v>2247</v>
      </c>
      <c r="C133" s="86" t="s">
        <v>778</v>
      </c>
      <c r="D133" s="86" t="s">
        <v>248</v>
      </c>
      <c r="E133" s="86" t="s">
        <v>2249</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2247</v>
      </c>
      <c r="C134" s="86" t="s">
        <v>778</v>
      </c>
      <c r="D134" s="86" t="s">
        <v>249</v>
      </c>
      <c r="E134" s="86" t="s">
        <v>2249</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86" t="s">
        <v>624</v>
      </c>
      <c r="F135" s="89">
        <f>SUM(F132:F134)</f>
        <v>853028865.43738949</v>
      </c>
      <c r="G135" s="89">
        <f t="shared" ref="G135:U135" si="74">SUM(G132:G134)</f>
        <v>376133314.88870335</v>
      </c>
      <c r="H135" s="89">
        <f t="shared" ref="H135" si="75">SUM(H132:H134)</f>
        <v>1208421.3409275874</v>
      </c>
      <c r="I135" s="89">
        <f t="shared" si="74"/>
        <v>96774179.533726037</v>
      </c>
      <c r="J135" s="89">
        <f>SUM(J132:J134)</f>
        <v>9904284.8599546272</v>
      </c>
      <c r="K135" s="89">
        <f>SUM(K132:K134)</f>
        <v>86331022.667772606</v>
      </c>
      <c r="L135" s="89">
        <f>SUM(L132:L134)</f>
        <v>3709714.5088608493</v>
      </c>
      <c r="M135" s="89">
        <f t="shared" si="74"/>
        <v>76374022.101059631</v>
      </c>
      <c r="N135" s="89">
        <f t="shared" si="74"/>
        <v>124385394.49789551</v>
      </c>
      <c r="O135" s="89">
        <f t="shared" si="74"/>
        <v>43134165.823783822</v>
      </c>
      <c r="P135" s="89">
        <f t="shared" si="74"/>
        <v>28903199.637465902</v>
      </c>
      <c r="Q135" s="89">
        <f>SUM(Q132:Q134)</f>
        <v>5821422.4308059784</v>
      </c>
      <c r="R135" s="89">
        <f t="shared" si="74"/>
        <v>211801.26710629574</v>
      </c>
      <c r="S135" s="89">
        <f t="shared" si="74"/>
        <v>57064.434571455015</v>
      </c>
      <c r="T135" s="89">
        <f t="shared" si="74"/>
        <v>80356.025649878153</v>
      </c>
      <c r="U135" s="89">
        <f t="shared" si="74"/>
        <v>501.41910604016408</v>
      </c>
      <c r="V135" s="89">
        <f>SUM(V132:V134)</f>
        <v>0</v>
      </c>
      <c r="W135" s="89">
        <f>SUM(W132:W134)</f>
        <v>0</v>
      </c>
      <c r="X135" s="91">
        <f>SUM(G135:W135)</f>
        <v>853028865.43738973</v>
      </c>
      <c r="Y135" s="87" t="str">
        <f>IF(ABS(F135-X135)&lt;0.01,"ok","err")</f>
        <v>ok</v>
      </c>
      <c r="Z135" s="203" t="str">
        <f>IF(Y135="err",X135-F135,"")</f>
        <v/>
      </c>
    </row>
    <row r="136" spans="1:27" ht="12" customHeight="1" x14ac:dyDescent="0.5">
      <c r="F136" s="90"/>
      <c r="G136" s="90"/>
      <c r="H136" s="90"/>
    </row>
    <row r="137" spans="1:27" ht="12" customHeight="1" x14ac:dyDescent="0.5">
      <c r="A137" s="23" t="s">
        <v>1628</v>
      </c>
      <c r="F137" s="90"/>
      <c r="G137" s="90"/>
      <c r="H137" s="90"/>
    </row>
    <row r="138" spans="1:27" ht="12" customHeight="1" x14ac:dyDescent="0.5">
      <c r="A138" s="96" t="s">
        <v>145</v>
      </c>
      <c r="C138" s="86" t="s">
        <v>778</v>
      </c>
      <c r="D138" s="86" t="s">
        <v>625</v>
      </c>
      <c r="E138" s="86" t="s">
        <v>2253</v>
      </c>
      <c r="F138" s="89">
        <f>VLOOKUP(C138,'WSS-26'!$C$1:$AU$617,17,)</f>
        <v>0</v>
      </c>
      <c r="G138" s="89">
        <f t="shared" ref="G138:W138" si="76">IF(VLOOKUP($E138,$D$5:$W$977,3,)=0,0,(VLOOKUP($E138,$D$5:$W$977,G$1,)/VLOOKUP($E138,$D$5:$W$977,3,))*$F138)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F139" s="90"/>
    </row>
    <row r="140" spans="1:27" ht="12" customHeight="1" x14ac:dyDescent="0.5">
      <c r="A140" s="23" t="s">
        <v>1629</v>
      </c>
      <c r="F140" s="90"/>
      <c r="G140" s="90"/>
      <c r="H140" s="90"/>
    </row>
    <row r="141" spans="1:27" ht="12" customHeight="1" x14ac:dyDescent="0.5">
      <c r="A141" s="96" t="s">
        <v>147</v>
      </c>
      <c r="C141" s="86" t="s">
        <v>778</v>
      </c>
      <c r="D141" s="86" t="s">
        <v>626</v>
      </c>
      <c r="E141" s="86" t="s">
        <v>2253</v>
      </c>
      <c r="F141" s="89">
        <f>VLOOKUP(C141,'WSS-26'!$C$1:$AU$617,18,)</f>
        <v>200340313.18001348</v>
      </c>
      <c r="G141" s="89">
        <f t="shared" ref="G141:W141" si="77">IF(VLOOKUP($E141,$D$5:$W$977,3,)=0,0,(VLOOKUP($E141,$D$5:$W$977,G$1,)/VLOOKUP($E141,$D$5:$W$977,3,))*$F141)</f>
        <v>96485897.867699727</v>
      </c>
      <c r="H141" s="89">
        <f t="shared" si="77"/>
        <v>309984.82045225968</v>
      </c>
      <c r="I141" s="89">
        <f t="shared" si="77"/>
        <v>24824558.828255925</v>
      </c>
      <c r="J141" s="89">
        <f t="shared" si="77"/>
        <v>2540651.8902292741</v>
      </c>
      <c r="K141" s="89">
        <f t="shared" si="77"/>
        <v>22145675.233265411</v>
      </c>
      <c r="L141" s="89">
        <f t="shared" si="77"/>
        <v>951617.74044445821</v>
      </c>
      <c r="M141" s="89">
        <f t="shared" si="77"/>
        <v>19591500.684720654</v>
      </c>
      <c r="N141" s="89">
        <f t="shared" si="77"/>
        <v>31907400.899355784</v>
      </c>
      <c r="O141" s="89">
        <f t="shared" si="77"/>
        <v>0</v>
      </c>
      <c r="P141" s="89">
        <f t="shared" si="77"/>
        <v>0</v>
      </c>
      <c r="Q141" s="89">
        <f t="shared" si="77"/>
        <v>1493314.0667682753</v>
      </c>
      <c r="R141" s="89">
        <f t="shared" si="77"/>
        <v>54331.362358355145</v>
      </c>
      <c r="S141" s="89">
        <f t="shared" si="77"/>
        <v>14638.196054419228</v>
      </c>
      <c r="T141" s="89">
        <f t="shared" si="77"/>
        <v>20612.966139951088</v>
      </c>
      <c r="U141" s="89">
        <f t="shared" si="77"/>
        <v>128.62426894735455</v>
      </c>
      <c r="V141" s="89">
        <f t="shared" si="77"/>
        <v>0</v>
      </c>
      <c r="W141" s="89">
        <f t="shared" si="77"/>
        <v>0</v>
      </c>
      <c r="X141" s="91">
        <f>SUM(G141:W141)</f>
        <v>200340313.18001345</v>
      </c>
      <c r="Y141" s="87" t="str">
        <f>IF(ABS(F141-X141)&lt;0.01,"ok","err")</f>
        <v>ok</v>
      </c>
      <c r="Z141" s="203" t="str">
        <f>IF(Y141="err",X141-F141,"")</f>
        <v/>
      </c>
      <c r="AA141" s="91"/>
    </row>
    <row r="142" spans="1:27" ht="12" customHeight="1" x14ac:dyDescent="0.5">
      <c r="F142" s="90"/>
    </row>
    <row r="143" spans="1:27" ht="12" customHeight="1" x14ac:dyDescent="0.5">
      <c r="A143" s="23" t="s">
        <v>146</v>
      </c>
      <c r="F143" s="90"/>
    </row>
    <row r="144" spans="1:27" ht="12" customHeight="1" x14ac:dyDescent="0.5">
      <c r="A144" s="96" t="s">
        <v>792</v>
      </c>
      <c r="C144" s="86" t="s">
        <v>778</v>
      </c>
      <c r="D144" s="86" t="s">
        <v>627</v>
      </c>
      <c r="E144" s="86" t="s">
        <v>2253</v>
      </c>
      <c r="F144" s="89">
        <f>VLOOKUP(C144,'WSS-26'!$C$1:$AU$617,19,)</f>
        <v>0</v>
      </c>
      <c r="G144" s="89">
        <f t="shared" ref="G144:P148" si="78">IF(VLOOKUP($E144,$D$5:$W$977,3,)=0,0,(VLOOKUP($E144,$D$5:$W$977,G$1,)/VLOOKUP($E144,$D$5:$W$977,3,))*$F144)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IF(VLOOKUP($E144,$D$5:$W$977,3,)=0,0,(VLOOKUP($E144,$D$5:$W$977,Q$1,)/VLOOKUP($E144,$D$5:$W$977,3,))*$F144)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793</v>
      </c>
      <c r="C145" s="86" t="s">
        <v>778</v>
      </c>
      <c r="D145" s="86" t="s">
        <v>628</v>
      </c>
      <c r="E145" s="86" t="s">
        <v>2253</v>
      </c>
      <c r="F145" s="90">
        <f>VLOOKUP(C145,'WSS-26'!$C$1:$AU$617,20,)</f>
        <v>159803701.92078391</v>
      </c>
      <c r="G145" s="89">
        <f t="shared" si="78"/>
        <v>76963060.59257628</v>
      </c>
      <c r="H145" s="89">
        <f t="shared" si="78"/>
        <v>247262.87516087675</v>
      </c>
      <c r="I145" s="89">
        <f t="shared" si="78"/>
        <v>19801588.28912792</v>
      </c>
      <c r="J145" s="89">
        <f t="shared" si="78"/>
        <v>2026579.5281345272</v>
      </c>
      <c r="K145" s="89">
        <f t="shared" si="78"/>
        <v>17664746.688457754</v>
      </c>
      <c r="L145" s="89">
        <f t="shared" si="78"/>
        <v>759068.58346514381</v>
      </c>
      <c r="M145" s="89">
        <f t="shared" si="78"/>
        <v>15627380.659971287</v>
      </c>
      <c r="N145" s="89">
        <f t="shared" si="78"/>
        <v>25451296.853100292</v>
      </c>
      <c r="O145" s="89">
        <f t="shared" si="78"/>
        <v>0</v>
      </c>
      <c r="P145" s="89">
        <f t="shared" si="78"/>
        <v>0</v>
      </c>
      <c r="Q145" s="89">
        <f t="shared" si="79"/>
        <v>1191158.7448978699</v>
      </c>
      <c r="R145" s="89">
        <f t="shared" si="79"/>
        <v>43338.021676462376</v>
      </c>
      <c r="S145" s="89">
        <f t="shared" si="79"/>
        <v>11676.321564080366</v>
      </c>
      <c r="T145" s="89">
        <f t="shared" si="79"/>
        <v>16442.164057975413</v>
      </c>
      <c r="U145" s="89">
        <f t="shared" si="79"/>
        <v>102.59859340527564</v>
      </c>
      <c r="V145" s="89">
        <f t="shared" si="79"/>
        <v>0</v>
      </c>
      <c r="W145" s="89">
        <f t="shared" si="79"/>
        <v>0</v>
      </c>
      <c r="X145" s="91">
        <f t="shared" si="80"/>
        <v>159803701.92078385</v>
      </c>
      <c r="Y145" s="87" t="str">
        <f t="shared" si="81"/>
        <v>ok</v>
      </c>
      <c r="Z145" s="203" t="str">
        <f t="shared" si="82"/>
        <v/>
      </c>
    </row>
    <row r="146" spans="1:26" ht="12" customHeight="1" x14ac:dyDescent="0.5">
      <c r="A146" s="96" t="s">
        <v>794</v>
      </c>
      <c r="C146" s="86" t="s">
        <v>778</v>
      </c>
      <c r="D146" s="86" t="s">
        <v>629</v>
      </c>
      <c r="E146" s="86" t="s">
        <v>2452</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795</v>
      </c>
      <c r="C147" s="86" t="s">
        <v>778</v>
      </c>
      <c r="D147" s="86" t="s">
        <v>630</v>
      </c>
      <c r="E147" s="86" t="s">
        <v>734</v>
      </c>
      <c r="F147" s="90">
        <f>VLOOKUP(C147,'WSS-26'!$C$1:$AU$617,22,)</f>
        <v>71898861.194295272</v>
      </c>
      <c r="G147" s="89">
        <f t="shared" si="78"/>
        <v>59379856.239493072</v>
      </c>
      <c r="H147" s="89">
        <f t="shared" si="78"/>
        <v>178559.92960290177</v>
      </c>
      <c r="I147" s="89">
        <f t="shared" si="78"/>
        <v>11102872.9191634</v>
      </c>
      <c r="J147" s="89">
        <f t="shared" si="78"/>
        <v>804794.80069977243</v>
      </c>
      <c r="K147" s="89">
        <f t="shared" si="78"/>
        <v>0</v>
      </c>
      <c r="L147" s="89">
        <f t="shared" si="78"/>
        <v>0</v>
      </c>
      <c r="M147" s="89">
        <f t="shared" si="78"/>
        <v>0</v>
      </c>
      <c r="N147" s="89">
        <f t="shared" si="78"/>
        <v>0</v>
      </c>
      <c r="O147" s="89">
        <f t="shared" si="78"/>
        <v>0</v>
      </c>
      <c r="P147" s="89">
        <f t="shared" si="78"/>
        <v>0</v>
      </c>
      <c r="Q147" s="89">
        <f t="shared" si="79"/>
        <v>413637.59024803975</v>
      </c>
      <c r="R147" s="89">
        <f t="shared" si="79"/>
        <v>15049.408761975048</v>
      </c>
      <c r="S147" s="89">
        <f t="shared" si="79"/>
        <v>4054.6782999452594</v>
      </c>
      <c r="T147" s="89">
        <f t="shared" si="79"/>
        <v>0</v>
      </c>
      <c r="U147" s="89">
        <f t="shared" si="79"/>
        <v>35.628026172645299</v>
      </c>
      <c r="V147" s="89">
        <f t="shared" si="79"/>
        <v>0</v>
      </c>
      <c r="W147" s="89">
        <f t="shared" si="79"/>
        <v>0</v>
      </c>
      <c r="X147" s="91">
        <f t="shared" si="80"/>
        <v>71898861.194295272</v>
      </c>
      <c r="Y147" s="87" t="str">
        <f t="shared" si="81"/>
        <v>ok</v>
      </c>
      <c r="Z147" s="203" t="str">
        <f t="shared" si="82"/>
        <v/>
      </c>
    </row>
    <row r="148" spans="1:26" ht="12" customHeight="1" x14ac:dyDescent="0.5">
      <c r="A148" s="96" t="s">
        <v>796</v>
      </c>
      <c r="C148" s="86" t="s">
        <v>778</v>
      </c>
      <c r="D148" s="86" t="s">
        <v>631</v>
      </c>
      <c r="E148" s="86" t="s">
        <v>2451</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86" t="s">
        <v>632</v>
      </c>
      <c r="F149" s="89">
        <f>SUM(F144:F148)</f>
        <v>687121283.90026367</v>
      </c>
      <c r="G149" s="89">
        <f t="shared" ref="G149:U149" si="83">SUM(G144:G148)</f>
        <v>496977331.50258517</v>
      </c>
      <c r="H149" s="89">
        <f t="shared" ref="H149" si="84">SUM(H144:H148)</f>
        <v>6862240.1569146821</v>
      </c>
      <c r="I149" s="89">
        <f t="shared" si="83"/>
        <v>99578345.572159797</v>
      </c>
      <c r="J149" s="89">
        <f>SUM(J144:J148)</f>
        <v>3183281.6089518988</v>
      </c>
      <c r="K149" s="89">
        <f>SUM(K144:K148)</f>
        <v>20169258.339629412</v>
      </c>
      <c r="L149" s="89">
        <f>SUM(L144:L148)</f>
        <v>874088.92944421154</v>
      </c>
      <c r="M149" s="89">
        <f t="shared" si="83"/>
        <v>16058706.957392791</v>
      </c>
      <c r="N149" s="89">
        <f t="shared" si="83"/>
        <v>25595636.110799514</v>
      </c>
      <c r="O149" s="89">
        <f t="shared" si="83"/>
        <v>0</v>
      </c>
      <c r="P149" s="89">
        <f t="shared" si="83"/>
        <v>0</v>
      </c>
      <c r="Q149" s="89">
        <f>SUM(Q144:Q148)</f>
        <v>17585684.25270858</v>
      </c>
      <c r="R149" s="89">
        <f t="shared" si="83"/>
        <v>68347.070441765711</v>
      </c>
      <c r="S149" s="89">
        <f t="shared" si="83"/>
        <v>138566.55990507448</v>
      </c>
      <c r="T149" s="89">
        <f t="shared" si="83"/>
        <v>18697.464959525758</v>
      </c>
      <c r="U149" s="89">
        <f t="shared" si="83"/>
        <v>11099.374371249194</v>
      </c>
      <c r="V149" s="89">
        <f>SUM(V144:V148)</f>
        <v>0</v>
      </c>
      <c r="W149" s="89">
        <f>SUM(W144:W148)</f>
        <v>0</v>
      </c>
      <c r="X149" s="91">
        <f t="shared" si="80"/>
        <v>687121283.90026367</v>
      </c>
      <c r="Y149" s="87" t="str">
        <f t="shared" si="81"/>
        <v>ok</v>
      </c>
      <c r="Z149" s="91" t="str">
        <f t="shared" si="82"/>
        <v/>
      </c>
    </row>
    <row r="150" spans="1:26" ht="12" customHeight="1" x14ac:dyDescent="0.5">
      <c r="F150" s="90"/>
    </row>
    <row r="151" spans="1:26" ht="12" customHeight="1" x14ac:dyDescent="0.5">
      <c r="A151" s="23" t="s">
        <v>791</v>
      </c>
      <c r="F151" s="90"/>
    </row>
    <row r="152" spans="1:26" ht="12" customHeight="1" x14ac:dyDescent="0.5">
      <c r="A152" s="96" t="s">
        <v>389</v>
      </c>
      <c r="C152" s="86" t="s">
        <v>778</v>
      </c>
      <c r="D152" s="86" t="s">
        <v>633</v>
      </c>
      <c r="E152" s="86" t="s">
        <v>2178</v>
      </c>
      <c r="F152" s="89">
        <f>VLOOKUP(C152,'WSS-26'!$C$1:$AU$617,24,)</f>
        <v>104229017.66068386</v>
      </c>
      <c r="G152" s="89">
        <f t="shared" ref="G152:P153" si="85">IF(VLOOKUP($E152,$D$5:$W$977,3,)=0,0,(VLOOKUP($E152,$D$5:$W$977,G$1,)/VLOOKUP($E152,$D$5:$W$977,3,))*$F152)</f>
        <v>71047214.987013191</v>
      </c>
      <c r="H152" s="89">
        <f t="shared" si="85"/>
        <v>213644.60121622562</v>
      </c>
      <c r="I152" s="89">
        <f t="shared" si="85"/>
        <v>13284441.041415751</v>
      </c>
      <c r="J152" s="89">
        <f t="shared" si="85"/>
        <v>962926.36673172412</v>
      </c>
      <c r="K152" s="89">
        <f t="shared" si="85"/>
        <v>9814872.7121610604</v>
      </c>
      <c r="L152" s="89">
        <f t="shared" si="85"/>
        <v>0</v>
      </c>
      <c r="M152" s="89">
        <f t="shared" si="85"/>
        <v>8376472.0616712831</v>
      </c>
      <c r="N152" s="89">
        <f t="shared" si="85"/>
        <v>0</v>
      </c>
      <c r="O152" s="89">
        <f t="shared" si="85"/>
        <v>0</v>
      </c>
      <c r="P152" s="89">
        <f t="shared" si="85"/>
        <v>0</v>
      </c>
      <c r="Q152" s="89">
        <f t="shared" ref="Q152:W153" si="86">IF(VLOOKUP($E152,$D$5:$W$977,3,)=0,0,(VLOOKUP($E152,$D$5:$W$977,Q$1,)/VLOOKUP($E152,$D$5:$W$977,3,))*$F152)</f>
        <v>494911.92236192984</v>
      </c>
      <c r="R152" s="89">
        <f t="shared" si="86"/>
        <v>18006.419136938774</v>
      </c>
      <c r="S152" s="89">
        <f t="shared" si="86"/>
        <v>4851.36911947915</v>
      </c>
      <c r="T152" s="89">
        <f t="shared" si="86"/>
        <v>11633.55139275024</v>
      </c>
      <c r="U152" s="89">
        <f t="shared" si="86"/>
        <v>42.62846351196341</v>
      </c>
      <c r="V152" s="89">
        <f t="shared" si="86"/>
        <v>0</v>
      </c>
      <c r="W152" s="89">
        <f t="shared" si="86"/>
        <v>0</v>
      </c>
      <c r="X152" s="91">
        <f>SUM(G152:W152)</f>
        <v>104229017.66068384</v>
      </c>
      <c r="Y152" s="87" t="str">
        <f>IF(ABS(F152-X152)&lt;0.01,"ok","err")</f>
        <v>ok</v>
      </c>
      <c r="Z152" s="203" t="str">
        <f>IF(Y152="err",X152-F152,"")</f>
        <v/>
      </c>
    </row>
    <row r="153" spans="1:26" ht="12" customHeight="1" x14ac:dyDescent="0.5">
      <c r="A153" s="96" t="s">
        <v>392</v>
      </c>
      <c r="C153" s="86" t="s">
        <v>778</v>
      </c>
      <c r="D153" s="86" t="s">
        <v>634</v>
      </c>
      <c r="E153" s="86" t="s">
        <v>2453</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1469</v>
      </c>
      <c r="D154" s="86" t="s">
        <v>635</v>
      </c>
      <c r="F154" s="89">
        <f t="shared" ref="F154:U154" si="87">F152+F153</f>
        <v>190825299.85900897</v>
      </c>
      <c r="G154" s="89">
        <f t="shared" si="87"/>
        <v>139451636.60342202</v>
      </c>
      <c r="H154" s="89">
        <f t="shared" ref="H154" si="88">H152+H153</f>
        <v>1434491.4986426677</v>
      </c>
      <c r="I154" s="89">
        <f t="shared" si="87"/>
        <v>26310367.433810666</v>
      </c>
      <c r="J154" s="89">
        <f>J152+J153</f>
        <v>1029675.4427483343</v>
      </c>
      <c r="K154" s="89">
        <f>K152+K153</f>
        <v>10514163.739674697</v>
      </c>
      <c r="L154" s="89">
        <f>L152+L153</f>
        <v>0</v>
      </c>
      <c r="M154" s="89">
        <f t="shared" si="87"/>
        <v>8496903.767220119</v>
      </c>
      <c r="N154" s="89">
        <f t="shared" si="87"/>
        <v>0</v>
      </c>
      <c r="O154" s="89">
        <f t="shared" si="87"/>
        <v>0</v>
      </c>
      <c r="P154" s="89">
        <f t="shared" si="87"/>
        <v>0</v>
      </c>
      <c r="Q154" s="89">
        <f>Q152+Q153</f>
        <v>3526135.0958803827</v>
      </c>
      <c r="R154" s="89">
        <f t="shared" si="87"/>
        <v>19895.543929861702</v>
      </c>
      <c r="S154" s="89">
        <f t="shared" si="87"/>
        <v>28150.574898861923</v>
      </c>
      <c r="T154" s="89">
        <f t="shared" si="87"/>
        <v>12263.259657057883</v>
      </c>
      <c r="U154" s="89">
        <f t="shared" si="87"/>
        <v>1616.8991242810698</v>
      </c>
      <c r="V154" s="89">
        <f>V152+V153</f>
        <v>0</v>
      </c>
      <c r="W154" s="89">
        <f>W152+W153</f>
        <v>0</v>
      </c>
      <c r="X154" s="91">
        <f>SUM(G154:W154)</f>
        <v>190825299.85900894</v>
      </c>
      <c r="Y154" s="87" t="str">
        <f>IF(ABS(F154-X154)&lt;0.01,"ok","err")</f>
        <v>ok</v>
      </c>
      <c r="Z154" s="91" t="str">
        <f>IF(Y154="err",X154-F154,"")</f>
        <v/>
      </c>
    </row>
    <row r="155" spans="1:26" ht="12" customHeight="1" x14ac:dyDescent="0.5">
      <c r="F155" s="90"/>
    </row>
    <row r="156" spans="1:26" ht="12" customHeight="1" x14ac:dyDescent="0.5">
      <c r="A156" s="23" t="s">
        <v>128</v>
      </c>
      <c r="F156" s="90"/>
    </row>
    <row r="157" spans="1:26" ht="12" customHeight="1" x14ac:dyDescent="0.5">
      <c r="A157" s="96" t="s">
        <v>392</v>
      </c>
      <c r="C157" s="86" t="s">
        <v>778</v>
      </c>
      <c r="D157" s="86" t="s">
        <v>636</v>
      </c>
      <c r="E157" s="86" t="s">
        <v>393</v>
      </c>
      <c r="F157" s="89">
        <f>VLOOKUP(C157,'WSS-26'!$C$1:$AU$617,26,)</f>
        <v>73005397.52075699</v>
      </c>
      <c r="G157" s="89">
        <f t="shared" ref="G157:W157" si="89">IF(VLOOKUP($E157,$D$5:$W$977,3,)=0,0,(VLOOKUP($E157,$D$5:$W$977,G$1,)/VLOOKUP($E157,$D$5:$W$977,3,))*$F157)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F158" s="90"/>
    </row>
    <row r="159" spans="1:26" ht="12" customHeight="1" x14ac:dyDescent="0.5">
      <c r="A159" s="23" t="s">
        <v>127</v>
      </c>
      <c r="F159" s="90"/>
    </row>
    <row r="160" spans="1:26" ht="12" customHeight="1" x14ac:dyDescent="0.5">
      <c r="A160" s="96" t="s">
        <v>392</v>
      </c>
      <c r="C160" s="86" t="s">
        <v>778</v>
      </c>
      <c r="D160" s="86" t="s">
        <v>637</v>
      </c>
      <c r="E160" s="86" t="s">
        <v>2436</v>
      </c>
      <c r="F160" s="89">
        <f>VLOOKUP(C160,'WSS-26'!$C$1:$AU$617,27,)</f>
        <v>45031431.200968683</v>
      </c>
      <c r="G160" s="89">
        <f t="shared" ref="G160:W160" si="90">IF(VLOOKUP($E160,$D$5:$W$977,3,)=0,0,(VLOOKUP($E160,$D$5:$W$977,G$1,)/VLOOKUP($E160,$D$5:$W$977,3,))*$F160)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F161" s="90"/>
    </row>
    <row r="162" spans="1:28" ht="12" customHeight="1" x14ac:dyDescent="0.5">
      <c r="A162" s="23" t="s">
        <v>144</v>
      </c>
      <c r="F162" s="90"/>
    </row>
    <row r="163" spans="1:28" ht="12" customHeight="1" x14ac:dyDescent="0.5">
      <c r="A163" s="96" t="s">
        <v>392</v>
      </c>
      <c r="C163" s="86" t="s">
        <v>778</v>
      </c>
      <c r="D163" s="86" t="s">
        <v>638</v>
      </c>
      <c r="E163" s="86" t="s">
        <v>2448</v>
      </c>
      <c r="F163" s="89">
        <f>VLOOKUP(C163,'WSS-26'!$C$1:$AU$617,28,)</f>
        <v>83606234.160107493</v>
      </c>
      <c r="G163" s="89">
        <f t="shared" ref="G163:W163" si="91">IF(VLOOKUP($E163,$D$5:$W$977,3,)=0,0,(VLOOKUP($E163,$D$5:$W$977,G$1,)/VLOOKUP($E163,$D$5:$W$977,3,))*$F163)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F164" s="90"/>
    </row>
    <row r="165" spans="1:28" ht="12" customHeight="1" x14ac:dyDescent="0.5">
      <c r="A165" s="23" t="s">
        <v>292</v>
      </c>
      <c r="F165" s="90"/>
    </row>
    <row r="166" spans="1:28" ht="12" customHeight="1" x14ac:dyDescent="0.5">
      <c r="A166" s="96" t="s">
        <v>392</v>
      </c>
      <c r="C166" s="86" t="s">
        <v>778</v>
      </c>
      <c r="D166" s="86" t="s">
        <v>639</v>
      </c>
      <c r="E166" s="86" t="s">
        <v>2447</v>
      </c>
      <c r="F166" s="89">
        <f>VLOOKUP(C166,'WSS-26'!$C$1:$AU$617,30,)</f>
        <v>8704113.9440225586</v>
      </c>
      <c r="G166" s="89">
        <f t="shared" ref="G166:W166" si="92">IF(VLOOKUP($E166,$D$5:$W$977,3,)=0,0,(VLOOKUP($E166,$D$5:$W$977,G$1,)/VLOOKUP($E166,$D$5:$W$977,3,))*$F166)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F167" s="90"/>
    </row>
    <row r="168" spans="1:28" ht="12" customHeight="1" x14ac:dyDescent="0.5">
      <c r="A168" s="23" t="s">
        <v>1631</v>
      </c>
      <c r="F168" s="90"/>
    </row>
    <row r="169" spans="1:28" ht="12" customHeight="1" x14ac:dyDescent="0.5">
      <c r="A169" s="96" t="s">
        <v>392</v>
      </c>
      <c r="C169" s="86" t="s">
        <v>778</v>
      </c>
      <c r="D169" s="86" t="s">
        <v>640</v>
      </c>
      <c r="E169" s="86" t="s">
        <v>2447</v>
      </c>
      <c r="F169" s="89">
        <f>VLOOKUP(C169,'WSS-26'!$C$1:$AU$617,32,)</f>
        <v>1105952.9603598018</v>
      </c>
      <c r="G169" s="89">
        <f t="shared" ref="G169:W169" si="93">IF(VLOOKUP($E169,$D$5:$W$977,3,)=0,0,(VLOOKUP($E169,$D$5:$W$977,G$1,)/VLOOKUP($E169,$D$5:$W$977,3,))*$F169)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F170" s="90"/>
    </row>
    <row r="171" spans="1:28" ht="12" customHeight="1" x14ac:dyDescent="0.5">
      <c r="A171" s="23" t="s">
        <v>1630</v>
      </c>
      <c r="F171" s="90"/>
    </row>
    <row r="172" spans="1:28" ht="12" customHeight="1" x14ac:dyDescent="0.5">
      <c r="A172" s="96" t="s">
        <v>392</v>
      </c>
      <c r="C172" s="86" t="s">
        <v>778</v>
      </c>
      <c r="D172" s="86" t="s">
        <v>641</v>
      </c>
      <c r="E172" s="86" t="s">
        <v>2450</v>
      </c>
      <c r="F172" s="89">
        <f>VLOOKUP(C172,'WSS-26'!$C$1:$AU$617,34,)</f>
        <v>0</v>
      </c>
      <c r="G172" s="89">
        <f t="shared" ref="G172:W172" si="94">IF(VLOOKUP($E172,$D$5:$W$977,3,)=0,0,(VLOOKUP($E172,$D$5:$W$977,G$1,)/VLOOKUP($E172,$D$5:$W$977,3,))*$F172)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F173" s="90"/>
    </row>
    <row r="174" spans="1:28" ht="12" customHeight="1" x14ac:dyDescent="0.5">
      <c r="A174" s="86" t="s">
        <v>62</v>
      </c>
      <c r="D174" s="86" t="s">
        <v>402</v>
      </c>
      <c r="F174" s="89">
        <f>F129+F135+F138+F141+F149+F154+F157+F160+F163+F166+F169+F172</f>
        <v>5197832023.3399992</v>
      </c>
      <c r="G174" s="89">
        <f t="shared" ref="G174:U174" si="95">G129+G135+G138+G141+G149+G154+G157+G160+G163+G166+G169+G172</f>
        <v>2446199408.7285142</v>
      </c>
      <c r="H174" s="89">
        <f t="shared" ref="H174" si="96">H129+H135+H138+H141+H149+H154+H157+H160+H163+H166+H169+H172</f>
        <v>11340629.922834281</v>
      </c>
      <c r="I174" s="89">
        <f t="shared" si="95"/>
        <v>610148565.20987535</v>
      </c>
      <c r="J174" s="89">
        <f>J129+J135+J138+J141+J149+J154+J157+J160+J163+J166+J169+J172</f>
        <v>38738639.515784226</v>
      </c>
      <c r="K174" s="89">
        <f>K129+K135+K138+K141+K149+K154+K157+K160+K163+K166+K169+K172</f>
        <v>458864450.23790866</v>
      </c>
      <c r="L174" s="89">
        <f>L129+L135+L138+L141+L149+L154+L157+L160+L163+L166+L169+L172</f>
        <v>19887373.090099089</v>
      </c>
      <c r="M174" s="89">
        <f t="shared" si="95"/>
        <v>424829680.24150598</v>
      </c>
      <c r="N174" s="89">
        <f t="shared" si="95"/>
        <v>740452252.7798897</v>
      </c>
      <c r="O174" s="89">
        <f t="shared" si="95"/>
        <v>225535968.00398141</v>
      </c>
      <c r="P174" s="89">
        <f>P129+P135+P138+P141+P149+P154+P157+P160+P163+P166+P169+P172</f>
        <v>104333029.76968977</v>
      </c>
      <c r="Q174" s="89">
        <f>Q129+Q135+Q138+Q141+Q149+Q154+Q157+Q160+Q163+Q166+Q169+Q172</f>
        <v>113340011.04474315</v>
      </c>
      <c r="R174" s="89">
        <f t="shared" si="95"/>
        <v>398642.54509885528</v>
      </c>
      <c r="S174" s="89">
        <f t="shared" si="95"/>
        <v>615301.08940570417</v>
      </c>
      <c r="T174" s="89">
        <f t="shared" si="95"/>
        <v>174628.96328485516</v>
      </c>
      <c r="U174" s="89">
        <f t="shared" si="95"/>
        <v>105538.39738445418</v>
      </c>
      <c r="V174" s="89">
        <f>V129+V135+V138+V141+V149+V154+V157+V160+V163+V166+V169+V172</f>
        <v>2576969.3631635425</v>
      </c>
      <c r="W174" s="89">
        <f>W129+W135+W138+W141+W149+W154+W157+W160+W163+W166+W169+W172</f>
        <v>290934.43683645804</v>
      </c>
      <c r="X174" s="91">
        <f>SUM(G174:W174)</f>
        <v>5197832023.3400011</v>
      </c>
      <c r="Y174" s="87" t="str">
        <f>IF(ABS(F174-X174)&lt;0.01,"ok","err")</f>
        <v>ok</v>
      </c>
      <c r="Z174" s="203" t="str">
        <f>IF(Y174="err",X174-F174,"")</f>
        <v/>
      </c>
    </row>
    <row r="176" spans="1:28" ht="12" customHeight="1" x14ac:dyDescent="0.5">
      <c r="M176" s="91"/>
      <c r="N176" s="91"/>
      <c r="O176" s="91"/>
      <c r="P176" s="91"/>
    </row>
    <row r="177" spans="1:26" ht="12" customHeight="1" x14ac:dyDescent="0.5">
      <c r="A177" s="22" t="s">
        <v>769</v>
      </c>
    </row>
    <row r="179" spans="1:26" ht="12" customHeight="1" x14ac:dyDescent="0.5">
      <c r="A179" s="23" t="s">
        <v>137</v>
      </c>
    </row>
    <row r="180" spans="1:26" ht="12" customHeight="1" x14ac:dyDescent="0.5">
      <c r="A180" s="96" t="s">
        <v>2274</v>
      </c>
      <c r="C180" s="86" t="s">
        <v>810</v>
      </c>
      <c r="D180" s="86" t="s">
        <v>642</v>
      </c>
      <c r="E180" s="86" t="s">
        <v>2404</v>
      </c>
      <c r="F180" s="89">
        <f>VLOOKUP(C180,'WSS-26'!$C$1:$AU$617,6,)</f>
        <v>133195931.14461496</v>
      </c>
      <c r="G180" s="89">
        <f t="shared" ref="G180:P185" si="97">IF(VLOOKUP($E180,$D$5:$W$977,3,)=0,0,(VLOOKUP($E180,$D$5:$W$977,G$1,)/VLOOKUP($E180,$D$5:$W$977,3,))*$F180)</f>
        <v>54569345.581264667</v>
      </c>
      <c r="H180" s="89">
        <f t="shared" si="97"/>
        <v>55729.46083153964</v>
      </c>
      <c r="I180" s="89">
        <f t="shared" si="97"/>
        <v>14712899.341817949</v>
      </c>
      <c r="J180" s="89">
        <f t="shared" si="97"/>
        <v>944086.56072789431</v>
      </c>
      <c r="K180" s="89">
        <f t="shared" si="97"/>
        <v>13720367.569200814</v>
      </c>
      <c r="L180" s="89">
        <f t="shared" si="97"/>
        <v>596083.86102802539</v>
      </c>
      <c r="M180" s="89">
        <f t="shared" si="97"/>
        <v>13195240.947464464</v>
      </c>
      <c r="N180" s="89">
        <f t="shared" si="97"/>
        <v>24155348.916894525</v>
      </c>
      <c r="O180" s="89">
        <f t="shared" si="97"/>
        <v>7862929.7065529078</v>
      </c>
      <c r="P180" s="89">
        <f t="shared" si="97"/>
        <v>3256028.3729372453</v>
      </c>
      <c r="Q180" s="89">
        <f t="shared" ref="Q180:W185" si="98">IF(VLOOKUP($E180,$D$5:$W$977,3,)=0,0,(VLOOKUP($E180,$D$5:$W$977,Q$1,)/VLOOKUP($E180,$D$5:$W$977,3,))*$F180)</f>
        <v>21222.981289886106</v>
      </c>
      <c r="R180" s="89">
        <f t="shared" si="98"/>
        <v>772.15738634324191</v>
      </c>
      <c r="S180" s="89">
        <f t="shared" si="98"/>
        <v>12626.534248467056</v>
      </c>
      <c r="T180" s="89">
        <f t="shared" si="98"/>
        <v>1625.2511007560001</v>
      </c>
      <c r="U180" s="89">
        <f t="shared" si="98"/>
        <v>109.90186945490733</v>
      </c>
      <c r="V180" s="89">
        <f t="shared" si="98"/>
        <v>91514</v>
      </c>
      <c r="W180" s="89">
        <f t="shared" si="98"/>
        <v>0</v>
      </c>
      <c r="X180" s="91">
        <f t="shared" ref="X180:X185" si="99">SUM(G180:W180)</f>
        <v>133195931.14461496</v>
      </c>
      <c r="Y180" s="87" t="str">
        <f t="shared" ref="Y180:Y185" si="100">IF(ABS(F180-X180)&lt;0.01,"ok","err")</f>
        <v>ok</v>
      </c>
      <c r="Z180" s="203" t="str">
        <f t="shared" ref="Z180:Z185" si="101">IF(Y180="err",X180-F180,"")</f>
        <v/>
      </c>
    </row>
    <row r="181" spans="1:26" ht="12" hidden="1" customHeight="1" x14ac:dyDescent="0.5">
      <c r="A181" s="96" t="s">
        <v>2275</v>
      </c>
      <c r="C181" s="86" t="s">
        <v>810</v>
      </c>
      <c r="D181" s="86" t="s">
        <v>643</v>
      </c>
      <c r="E181" s="86" t="s">
        <v>2273</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2275</v>
      </c>
      <c r="C182" s="86" t="s">
        <v>810</v>
      </c>
      <c r="D182" s="86" t="s">
        <v>644</v>
      </c>
      <c r="E182" s="86" t="s">
        <v>2273</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2277</v>
      </c>
      <c r="C183" s="86" t="s">
        <v>810</v>
      </c>
      <c r="D183" s="86" t="s">
        <v>645</v>
      </c>
      <c r="E183" s="86" t="s">
        <v>390</v>
      </c>
      <c r="F183" s="90">
        <f>VLOOKUP(C183,'WSS-26'!$C$1:$AU$617,9,)</f>
        <v>555456786.90975177</v>
      </c>
      <c r="G183" s="89">
        <f t="shared" si="97"/>
        <v>191480771.98148727</v>
      </c>
      <c r="H183" s="89">
        <f t="shared" si="97"/>
        <v>314848.91226445505</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2276</v>
      </c>
      <c r="C184" s="86" t="s">
        <v>810</v>
      </c>
      <c r="D184" s="86" t="s">
        <v>656</v>
      </c>
      <c r="E184" s="86"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2276</v>
      </c>
      <c r="C185" s="86" t="s">
        <v>810</v>
      </c>
      <c r="D185" s="86" t="s">
        <v>657</v>
      </c>
      <c r="E185" s="86"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86" t="s">
        <v>403</v>
      </c>
      <c r="F186" s="89">
        <f t="shared" ref="F186:U186" si="102">SUM(F180:F185)</f>
        <v>688652718.05436671</v>
      </c>
      <c r="G186" s="89">
        <f t="shared" si="102"/>
        <v>246050117.56275195</v>
      </c>
      <c r="H186" s="89">
        <f t="shared" ref="H186" si="103">SUM(H180:H185)</f>
        <v>370578.3730959947</v>
      </c>
      <c r="I186" s="89">
        <f t="shared" si="102"/>
        <v>68865387.288200021</v>
      </c>
      <c r="J186" s="89">
        <f>SUM(J180:J185)</f>
        <v>5092254.811644963</v>
      </c>
      <c r="K186" s="89">
        <f>SUM(K180:K185)</f>
        <v>68551908.653171778</v>
      </c>
      <c r="L186" s="89">
        <f>SUM(L180:L185)</f>
        <v>3074089.3929640357</v>
      </c>
      <c r="M186" s="89">
        <f t="shared" si="102"/>
        <v>70769954.916618541</v>
      </c>
      <c r="N186" s="89">
        <f t="shared" si="102"/>
        <v>148554409.9797433</v>
      </c>
      <c r="O186" s="89">
        <f t="shared" si="102"/>
        <v>51158308.296609893</v>
      </c>
      <c r="P186" s="89">
        <f t="shared" si="102"/>
        <v>21931592.276541203</v>
      </c>
      <c r="Q186" s="89">
        <f>SUM(Q180:Q185)</f>
        <v>3898313.0890817293</v>
      </c>
      <c r="R186" s="89">
        <f t="shared" si="102"/>
        <v>141832.62877266336</v>
      </c>
      <c r="S186" s="89">
        <f t="shared" si="102"/>
        <v>89835.469638385781</v>
      </c>
      <c r="T186" s="89">
        <f t="shared" si="102"/>
        <v>12158.066357766176</v>
      </c>
      <c r="U186" s="89">
        <f t="shared" si="102"/>
        <v>463.24917438057156</v>
      </c>
      <c r="V186" s="89">
        <f>SUM(V180:V185)</f>
        <v>91514</v>
      </c>
      <c r="W186" s="89">
        <f>SUM(W180:W185)</f>
        <v>0</v>
      </c>
      <c r="X186" s="91">
        <f>SUM(G186:W186)</f>
        <v>688652718.05436659</v>
      </c>
      <c r="Y186" s="87" t="str">
        <f>IF(ABS(F186-X186)&lt;0.01,"ok","err")</f>
        <v>ok</v>
      </c>
      <c r="Z186" s="203" t="str">
        <f>IF(Y186="err",X186-F186,"")</f>
        <v/>
      </c>
    </row>
    <row r="187" spans="1:26" ht="12" customHeight="1" x14ac:dyDescent="0.5">
      <c r="F187" s="90"/>
      <c r="G187" s="204"/>
      <c r="H187" s="204"/>
      <c r="I187" s="204"/>
      <c r="J187" s="204"/>
      <c r="K187" s="204"/>
      <c r="L187" s="204"/>
      <c r="M187" s="204"/>
      <c r="N187" s="204"/>
      <c r="O187" s="204"/>
      <c r="P187" s="204"/>
      <c r="Q187" s="204"/>
      <c r="R187" s="204"/>
    </row>
    <row r="188" spans="1:26" ht="12" customHeight="1" x14ac:dyDescent="0.5">
      <c r="A188" s="23" t="s">
        <v>441</v>
      </c>
      <c r="F188" s="90"/>
      <c r="G188" s="90"/>
      <c r="H188" s="90"/>
    </row>
    <row r="189" spans="1:26" ht="12" customHeight="1" x14ac:dyDescent="0.5">
      <c r="A189" s="96" t="s">
        <v>2248</v>
      </c>
      <c r="C189" s="86" t="s">
        <v>810</v>
      </c>
      <c r="D189" s="86" t="s">
        <v>658</v>
      </c>
      <c r="E189" s="86" t="s">
        <v>2249</v>
      </c>
      <c r="F189" s="89">
        <f>VLOOKUP(C189,'WSS-26'!$C$1:$AU$617,13,)</f>
        <v>57756583.629516207</v>
      </c>
      <c r="G189" s="89">
        <f t="shared" ref="G189:P191" si="104">IF(VLOOKUP($E189,$D$5:$W$977,3,)=0,0,(VLOOKUP($E189,$D$5:$W$977,G$1,)/VLOOKUP($E189,$D$5:$W$977,3,))*$F189)</f>
        <v>25467104.499538247</v>
      </c>
      <c r="H189" s="89">
        <f t="shared" si="104"/>
        <v>81819.37454272357</v>
      </c>
      <c r="I189" s="89">
        <f t="shared" si="104"/>
        <v>6552352.7044439856</v>
      </c>
      <c r="J189" s="89">
        <f t="shared" si="104"/>
        <v>670595.89655410906</v>
      </c>
      <c r="K189" s="89">
        <f t="shared" si="104"/>
        <v>5845271.0483322367</v>
      </c>
      <c r="L189" s="89">
        <f t="shared" si="104"/>
        <v>251176.06795496834</v>
      </c>
      <c r="M189" s="89">
        <f t="shared" si="104"/>
        <v>5171105.8949225387</v>
      </c>
      <c r="N189" s="89">
        <f t="shared" si="104"/>
        <v>8421843.3052959368</v>
      </c>
      <c r="O189" s="89">
        <f t="shared" si="104"/>
        <v>2920513.1932005468</v>
      </c>
      <c r="P189" s="89">
        <f t="shared" si="104"/>
        <v>1956967.8526247111</v>
      </c>
      <c r="Q189" s="89">
        <f t="shared" ref="Q189:W191" si="105">IF(VLOOKUP($E189,$D$5:$W$977,3,)=0,0,(VLOOKUP($E189,$D$5:$W$977,Q$1,)/VLOOKUP($E189,$D$5:$W$977,3,))*$F189)</f>
        <v>394154.85816554149</v>
      </c>
      <c r="R189" s="89">
        <f t="shared" si="105"/>
        <v>14340.566998503453</v>
      </c>
      <c r="S189" s="89">
        <f t="shared" si="105"/>
        <v>3863.699015516147</v>
      </c>
      <c r="T189" s="89">
        <f t="shared" si="105"/>
        <v>5440.7180150967388</v>
      </c>
      <c r="U189" s="89">
        <f t="shared" si="105"/>
        <v>33.949911550292803</v>
      </c>
      <c r="V189" s="89">
        <f t="shared" si="105"/>
        <v>0</v>
      </c>
      <c r="W189" s="89">
        <f t="shared" si="105"/>
        <v>0</v>
      </c>
      <c r="X189" s="91">
        <f>SUM(G189:W189)</f>
        <v>57756583.629516207</v>
      </c>
      <c r="Y189" s="87" t="str">
        <f>IF(ABS(F189-X189)&lt;0.01,"ok","err")</f>
        <v>ok</v>
      </c>
      <c r="Z189" s="203" t="str">
        <f>IF(Y189="err",X189-F189,"")</f>
        <v/>
      </c>
    </row>
    <row r="190" spans="1:26" ht="12" hidden="1" customHeight="1" x14ac:dyDescent="0.5">
      <c r="A190" s="96" t="s">
        <v>2247</v>
      </c>
      <c r="C190" s="86" t="s">
        <v>810</v>
      </c>
      <c r="D190" s="86" t="s">
        <v>659</v>
      </c>
      <c r="E190" s="86" t="s">
        <v>2249</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2247</v>
      </c>
      <c r="C191" s="86" t="s">
        <v>810</v>
      </c>
      <c r="D191" s="86" t="s">
        <v>660</v>
      </c>
      <c r="E191" s="86" t="s">
        <v>2249</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86" t="s">
        <v>661</v>
      </c>
      <c r="F192" s="89">
        <f t="shared" ref="F192:U192" si="106">SUM(F189:F191)</f>
        <v>57756583.629516207</v>
      </c>
      <c r="G192" s="89">
        <f t="shared" si="106"/>
        <v>25467104.499538247</v>
      </c>
      <c r="H192" s="89">
        <f t="shared" ref="H192" si="107">SUM(H189:H191)</f>
        <v>81819.37454272357</v>
      </c>
      <c r="I192" s="89">
        <f t="shared" si="106"/>
        <v>6552352.7044439856</v>
      </c>
      <c r="J192" s="89">
        <f>SUM(J189:J191)</f>
        <v>670595.89655410906</v>
      </c>
      <c r="K192" s="89">
        <f>SUM(K189:K191)</f>
        <v>5845271.0483322367</v>
      </c>
      <c r="L192" s="89">
        <f>SUM(L189:L191)</f>
        <v>251176.06795496834</v>
      </c>
      <c r="M192" s="89">
        <f t="shared" si="106"/>
        <v>5171105.8949225387</v>
      </c>
      <c r="N192" s="89">
        <f t="shared" si="106"/>
        <v>8421843.3052959368</v>
      </c>
      <c r="O192" s="89">
        <f t="shared" si="106"/>
        <v>2920513.1932005468</v>
      </c>
      <c r="P192" s="89">
        <f t="shared" si="106"/>
        <v>1956967.8526247111</v>
      </c>
      <c r="Q192" s="89">
        <f>SUM(Q189:Q191)</f>
        <v>394154.85816554149</v>
      </c>
      <c r="R192" s="89">
        <f t="shared" si="106"/>
        <v>14340.566998503453</v>
      </c>
      <c r="S192" s="89">
        <f t="shared" si="106"/>
        <v>3863.699015516147</v>
      </c>
      <c r="T192" s="89">
        <f t="shared" si="106"/>
        <v>5440.7180150967388</v>
      </c>
      <c r="U192" s="89">
        <f t="shared" si="106"/>
        <v>33.949911550292803</v>
      </c>
      <c r="V192" s="89">
        <f>SUM(V189:V191)</f>
        <v>0</v>
      </c>
      <c r="W192" s="89">
        <f>SUM(W189:W191)</f>
        <v>0</v>
      </c>
      <c r="X192" s="91">
        <f>SUM(G192:W192)</f>
        <v>57756583.629516207</v>
      </c>
      <c r="Y192" s="87" t="str">
        <f>IF(ABS(F192-X192)&lt;0.01,"ok","err")</f>
        <v>ok</v>
      </c>
      <c r="Z192" s="91" t="str">
        <f>IF(Y192="err",X192-F192,"")</f>
        <v/>
      </c>
    </row>
    <row r="193" spans="1:26" ht="12" customHeight="1" x14ac:dyDescent="0.5">
      <c r="F193" s="90"/>
      <c r="G193" s="90"/>
      <c r="H193" s="90"/>
    </row>
    <row r="194" spans="1:26" ht="12" customHeight="1" x14ac:dyDescent="0.5">
      <c r="A194" s="23" t="s">
        <v>1628</v>
      </c>
      <c r="F194" s="90"/>
      <c r="G194" s="90"/>
      <c r="H194" s="90"/>
    </row>
    <row r="195" spans="1:26" ht="12" customHeight="1" x14ac:dyDescent="0.5">
      <c r="A195" s="96" t="s">
        <v>145</v>
      </c>
      <c r="C195" s="86" t="s">
        <v>810</v>
      </c>
      <c r="D195" s="86" t="s">
        <v>662</v>
      </c>
      <c r="E195" s="86" t="s">
        <v>2253</v>
      </c>
      <c r="F195" s="89">
        <f>VLOOKUP(C195,'WSS-26'!$C$1:$AU$617,17,)</f>
        <v>0</v>
      </c>
      <c r="G195" s="89">
        <f t="shared" ref="G195:W195" si="108">IF(VLOOKUP($E195,$D$5:$W$977,3,)=0,0,(VLOOKUP($E195,$D$5:$W$977,G$1,)/VLOOKUP($E195,$D$5:$W$977,3,))*$F195)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F196" s="90"/>
    </row>
    <row r="197" spans="1:26" ht="12" customHeight="1" x14ac:dyDescent="0.5">
      <c r="A197" s="23" t="s">
        <v>1629</v>
      </c>
      <c r="F197" s="90"/>
      <c r="G197" s="90"/>
      <c r="H197" s="90"/>
    </row>
    <row r="198" spans="1:26" ht="12" customHeight="1" x14ac:dyDescent="0.5">
      <c r="A198" s="96" t="s">
        <v>147</v>
      </c>
      <c r="C198" s="86" t="s">
        <v>810</v>
      </c>
      <c r="D198" s="86" t="s">
        <v>663</v>
      </c>
      <c r="E198" s="86" t="s">
        <v>2253</v>
      </c>
      <c r="F198" s="89">
        <f>VLOOKUP(C198,'WSS-26'!$C$1:$AU$617,18,)</f>
        <v>9282793.2294150442</v>
      </c>
      <c r="G198" s="89">
        <f t="shared" ref="G198:W198" si="109">IF(VLOOKUP($E198,$D$5:$W$977,3,)=0,0,(VLOOKUP($E198,$D$5:$W$977,G$1,)/VLOOKUP($E198,$D$5:$W$977,3,))*$F198)</f>
        <v>4470686.0304023316</v>
      </c>
      <c r="H198" s="89">
        <f t="shared" si="109"/>
        <v>14363.185056669585</v>
      </c>
      <c r="I198" s="89">
        <f t="shared" si="109"/>
        <v>1150249.0085811599</v>
      </c>
      <c r="J198" s="89">
        <f t="shared" si="109"/>
        <v>117721.42007050471</v>
      </c>
      <c r="K198" s="89">
        <f t="shared" si="109"/>
        <v>1026122.6053463573</v>
      </c>
      <c r="L198" s="89">
        <f t="shared" si="109"/>
        <v>44093.32589018999</v>
      </c>
      <c r="M198" s="89">
        <f t="shared" si="109"/>
        <v>907774.61122761364</v>
      </c>
      <c r="N198" s="89">
        <f t="shared" si="109"/>
        <v>1478433.3733702085</v>
      </c>
      <c r="O198" s="89">
        <f t="shared" si="109"/>
        <v>0</v>
      </c>
      <c r="P198" s="89">
        <f t="shared" si="109"/>
        <v>0</v>
      </c>
      <c r="Q198" s="89">
        <f t="shared" si="109"/>
        <v>69192.892275910228</v>
      </c>
      <c r="R198" s="89">
        <f t="shared" si="109"/>
        <v>2517.4504054601312</v>
      </c>
      <c r="S198" s="89">
        <f t="shared" si="109"/>
        <v>678.26262756570816</v>
      </c>
      <c r="T198" s="89">
        <f t="shared" si="109"/>
        <v>955.104339635168</v>
      </c>
      <c r="U198" s="89">
        <f t="shared" si="109"/>
        <v>5.9598214356893529</v>
      </c>
      <c r="V198" s="89">
        <f t="shared" si="109"/>
        <v>0</v>
      </c>
      <c r="W198" s="89">
        <f t="shared" si="109"/>
        <v>0</v>
      </c>
      <c r="X198" s="91">
        <f>SUM(G198:W198)</f>
        <v>9282793.2294150442</v>
      </c>
      <c r="Y198" s="87" t="str">
        <f>IF(ABS(F198-X198)&lt;0.01,"ok","err")</f>
        <v>ok</v>
      </c>
      <c r="Z198" s="203" t="str">
        <f>IF(Y198="err",X198-F198,"")</f>
        <v/>
      </c>
    </row>
    <row r="199" spans="1:26" ht="12" customHeight="1" x14ac:dyDescent="0.5">
      <c r="F199" s="90"/>
    </row>
    <row r="200" spans="1:26" ht="12" customHeight="1" x14ac:dyDescent="0.5">
      <c r="A200" s="23" t="s">
        <v>146</v>
      </c>
      <c r="F200" s="90"/>
    </row>
    <row r="201" spans="1:26" ht="12" customHeight="1" x14ac:dyDescent="0.5">
      <c r="A201" s="96" t="s">
        <v>792</v>
      </c>
      <c r="C201" s="86" t="s">
        <v>810</v>
      </c>
      <c r="D201" s="86" t="s">
        <v>664</v>
      </c>
      <c r="E201" s="86" t="s">
        <v>2253</v>
      </c>
      <c r="F201" s="89">
        <f>VLOOKUP(C201,'WSS-26'!$C$1:$AU$617,19,)</f>
        <v>0</v>
      </c>
      <c r="G201" s="89">
        <f t="shared" ref="G201:P205" si="110">IF(VLOOKUP($E201,$D$5:$W$977,3,)=0,0,(VLOOKUP($E201,$D$5:$W$977,G$1,)/VLOOKUP($E201,$D$5:$W$977,3,))*$F201)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IF(VLOOKUP($E201,$D$5:$W$977,3,)=0,0,(VLOOKUP($E201,$D$5:$W$977,Q$1,)/VLOOKUP($E201,$D$5:$W$977,3,))*$F201)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793</v>
      </c>
      <c r="C202" s="86" t="s">
        <v>810</v>
      </c>
      <c r="D202" s="86" t="s">
        <v>665</v>
      </c>
      <c r="E202" s="86" t="s">
        <v>2253</v>
      </c>
      <c r="F202" s="90">
        <f>VLOOKUP(C202,'WSS-26'!$C$1:$AU$617,20,)</f>
        <v>12963443.703119226</v>
      </c>
      <c r="G202" s="89">
        <f t="shared" si="110"/>
        <v>6243324.0983753195</v>
      </c>
      <c r="H202" s="89">
        <f t="shared" si="110"/>
        <v>20058.223454725456</v>
      </c>
      <c r="I202" s="89">
        <f t="shared" si="110"/>
        <v>1606325.5852840103</v>
      </c>
      <c r="J202" s="89">
        <f t="shared" si="110"/>
        <v>164398.25427754392</v>
      </c>
      <c r="K202" s="89">
        <f t="shared" si="110"/>
        <v>1432982.7561766945</v>
      </c>
      <c r="L202" s="89">
        <f t="shared" si="110"/>
        <v>61576.438657439197</v>
      </c>
      <c r="M202" s="89">
        <f t="shared" si="110"/>
        <v>1267709.4896911397</v>
      </c>
      <c r="N202" s="89">
        <f t="shared" si="110"/>
        <v>2064635.8623787924</v>
      </c>
      <c r="O202" s="89">
        <f t="shared" si="110"/>
        <v>0</v>
      </c>
      <c r="P202" s="89">
        <f t="shared" si="110"/>
        <v>0</v>
      </c>
      <c r="Q202" s="89">
        <f t="shared" si="111"/>
        <v>96628.045191444879</v>
      </c>
      <c r="R202" s="89">
        <f t="shared" si="111"/>
        <v>3515.6257173934232</v>
      </c>
      <c r="S202" s="89">
        <f t="shared" si="111"/>
        <v>947.19543687733824</v>
      </c>
      <c r="T202" s="89">
        <f t="shared" si="111"/>
        <v>1333.8055724683618</v>
      </c>
      <c r="U202" s="89">
        <f t="shared" si="111"/>
        <v>8.3229053747942476</v>
      </c>
      <c r="V202" s="89">
        <f t="shared" si="111"/>
        <v>0</v>
      </c>
      <c r="W202" s="89">
        <f t="shared" si="111"/>
        <v>0</v>
      </c>
      <c r="X202" s="91">
        <f t="shared" si="112"/>
        <v>12963443.703119226</v>
      </c>
      <c r="Y202" s="87" t="str">
        <f t="shared" si="113"/>
        <v>ok</v>
      </c>
      <c r="Z202" s="203" t="str">
        <f t="shared" si="114"/>
        <v/>
      </c>
    </row>
    <row r="203" spans="1:26" ht="12" customHeight="1" x14ac:dyDescent="0.5">
      <c r="A203" s="96" t="s">
        <v>794</v>
      </c>
      <c r="C203" s="86" t="s">
        <v>810</v>
      </c>
      <c r="D203" s="86" t="s">
        <v>666</v>
      </c>
      <c r="E203" s="86" t="s">
        <v>905</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795</v>
      </c>
      <c r="C204" s="86" t="s">
        <v>810</v>
      </c>
      <c r="D204" s="86" t="s">
        <v>667</v>
      </c>
      <c r="E204" s="86" t="s">
        <v>734</v>
      </c>
      <c r="F204" s="90">
        <f>VLOOKUP(C204,'WSS-26'!$C$1:$AU$617,22,)</f>
        <v>5561431.4547028812</v>
      </c>
      <c r="G204" s="89">
        <f t="shared" si="110"/>
        <v>4593076.9247323507</v>
      </c>
      <c r="H204" s="89">
        <f t="shared" si="110"/>
        <v>13811.74600748617</v>
      </c>
      <c r="I204" s="89">
        <f t="shared" si="110"/>
        <v>858815.64275879588</v>
      </c>
      <c r="J204" s="89">
        <f t="shared" si="110"/>
        <v>62251.488338568823</v>
      </c>
      <c r="K204" s="89">
        <f t="shared" si="110"/>
        <v>0</v>
      </c>
      <c r="L204" s="89">
        <f t="shared" si="110"/>
        <v>0</v>
      </c>
      <c r="M204" s="89">
        <f t="shared" si="110"/>
        <v>0</v>
      </c>
      <c r="N204" s="89">
        <f t="shared" si="110"/>
        <v>0</v>
      </c>
      <c r="O204" s="89">
        <f t="shared" si="110"/>
        <v>0</v>
      </c>
      <c r="P204" s="89">
        <f t="shared" si="110"/>
        <v>0</v>
      </c>
      <c r="Q204" s="89">
        <f t="shared" si="111"/>
        <v>31995.181384534557</v>
      </c>
      <c r="R204" s="89">
        <f t="shared" si="111"/>
        <v>1164.0831839791358</v>
      </c>
      <c r="S204" s="89">
        <f t="shared" si="111"/>
        <v>313.63244231476028</v>
      </c>
      <c r="T204" s="89">
        <f t="shared" si="111"/>
        <v>0</v>
      </c>
      <c r="U204" s="89">
        <f t="shared" si="111"/>
        <v>2.7558548513039378</v>
      </c>
      <c r="V204" s="89">
        <f t="shared" si="111"/>
        <v>0</v>
      </c>
      <c r="W204" s="89">
        <f t="shared" si="111"/>
        <v>0</v>
      </c>
      <c r="X204" s="91">
        <f t="shared" si="112"/>
        <v>5561431.4547028821</v>
      </c>
      <c r="Y204" s="87" t="str">
        <f t="shared" si="113"/>
        <v>ok</v>
      </c>
      <c r="Z204" s="203" t="str">
        <f t="shared" si="114"/>
        <v/>
      </c>
    </row>
    <row r="205" spans="1:26" ht="12" customHeight="1" x14ac:dyDescent="0.5">
      <c r="A205" s="96" t="s">
        <v>796</v>
      </c>
      <c r="C205" s="86" t="s">
        <v>810</v>
      </c>
      <c r="D205" s="86" t="s">
        <v>668</v>
      </c>
      <c r="E205" s="86" t="s">
        <v>904</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86" t="s">
        <v>669</v>
      </c>
      <c r="F206" s="89">
        <f>SUM(F201:F205)</f>
        <v>52692031.299834609</v>
      </c>
      <c r="G206" s="89">
        <f t="shared" ref="G206:U206" si="115">SUM(G201:G205)</f>
        <v>38250252.87421035</v>
      </c>
      <c r="H206" s="89">
        <f t="shared" ref="H206" si="116">SUM(H201:H205)</f>
        <v>73963.944267988292</v>
      </c>
      <c r="I206" s="89">
        <f t="shared" si="115"/>
        <v>7603128.2409242559</v>
      </c>
      <c r="J206" s="89">
        <f>SUM(J201:J205)</f>
        <v>252965.29264343367</v>
      </c>
      <c r="K206" s="89">
        <f>SUM(K201:K205)</f>
        <v>1708613.3167222892</v>
      </c>
      <c r="L206" s="89">
        <f>SUM(L201:L205)</f>
        <v>70390.565830684893</v>
      </c>
      <c r="M206" s="89">
        <f t="shared" si="115"/>
        <v>1315251.26167446</v>
      </c>
      <c r="N206" s="89">
        <f t="shared" si="115"/>
        <v>2075696.7278511007</v>
      </c>
      <c r="O206" s="89">
        <f t="shared" si="115"/>
        <v>0</v>
      </c>
      <c r="P206" s="89">
        <f t="shared" si="115"/>
        <v>0</v>
      </c>
      <c r="Q206" s="89">
        <f>SUM(Q201:Q205)</f>
        <v>1323684.3486893384</v>
      </c>
      <c r="R206" s="89">
        <f t="shared" si="115"/>
        <v>5424.4886191269252</v>
      </c>
      <c r="S206" s="89">
        <f t="shared" si="115"/>
        <v>10446.444398162606</v>
      </c>
      <c r="T206" s="89">
        <f t="shared" si="115"/>
        <v>1582.0654783864836</v>
      </c>
      <c r="U206" s="89">
        <f t="shared" si="115"/>
        <v>631.72852502140267</v>
      </c>
      <c r="V206" s="89">
        <f>SUM(V201:V205)</f>
        <v>0</v>
      </c>
      <c r="W206" s="89">
        <f>SUM(W201:W205)</f>
        <v>0</v>
      </c>
      <c r="X206" s="91">
        <f t="shared" si="112"/>
        <v>52692031.299834594</v>
      </c>
      <c r="Y206" s="87" t="str">
        <f t="shared" si="113"/>
        <v>ok</v>
      </c>
      <c r="Z206" s="91" t="str">
        <f t="shared" si="114"/>
        <v/>
      </c>
    </row>
    <row r="207" spans="1:26" ht="12" customHeight="1" x14ac:dyDescent="0.5">
      <c r="F207" s="90"/>
    </row>
    <row r="208" spans="1:26" ht="12" customHeight="1" x14ac:dyDescent="0.5">
      <c r="A208" s="23" t="s">
        <v>791</v>
      </c>
      <c r="F208" s="90"/>
    </row>
    <row r="209" spans="1:26" ht="12" customHeight="1" x14ac:dyDescent="0.5">
      <c r="A209" s="96" t="s">
        <v>389</v>
      </c>
      <c r="C209" s="86" t="s">
        <v>810</v>
      </c>
      <c r="D209" s="86" t="s">
        <v>670</v>
      </c>
      <c r="E209" s="86" t="s">
        <v>2178</v>
      </c>
      <c r="F209" s="89">
        <f>VLOOKUP(C209,'WSS-26'!$C$1:$AU$617,24,)</f>
        <v>2648295.6800802387</v>
      </c>
      <c r="G209" s="89">
        <f t="shared" ref="G209:P210" si="117">IF(VLOOKUP($E209,$D$5:$W$977,3,)=0,0,(VLOOKUP($E209,$D$5:$W$977,G$1,)/VLOOKUP($E209,$D$5:$W$977,3,))*$F209)</f>
        <v>1805198.1756594109</v>
      </c>
      <c r="H209" s="89">
        <f t="shared" si="117"/>
        <v>5428.3738556889266</v>
      </c>
      <c r="I209" s="89">
        <f t="shared" si="117"/>
        <v>337536.78785301081</v>
      </c>
      <c r="J209" s="89">
        <f t="shared" si="117"/>
        <v>24466.447007615912</v>
      </c>
      <c r="K209" s="89">
        <f t="shared" si="117"/>
        <v>249380.50446539163</v>
      </c>
      <c r="L209" s="89">
        <f t="shared" si="117"/>
        <v>0</v>
      </c>
      <c r="M209" s="89">
        <f t="shared" si="117"/>
        <v>212833.00248933118</v>
      </c>
      <c r="N209" s="89">
        <f t="shared" si="117"/>
        <v>0</v>
      </c>
      <c r="O209" s="89">
        <f t="shared" si="117"/>
        <v>0</v>
      </c>
      <c r="P209" s="89">
        <f t="shared" si="117"/>
        <v>0</v>
      </c>
      <c r="Q209" s="89">
        <f t="shared" ref="Q209:W210" si="118">IF(VLOOKUP($E209,$D$5:$W$977,3,)=0,0,(VLOOKUP($E209,$D$5:$W$977,Q$1,)/VLOOKUP($E209,$D$5:$W$977,3,))*$F209)</f>
        <v>12574.934844710748</v>
      </c>
      <c r="R209" s="89">
        <f t="shared" si="118"/>
        <v>457.5148368884303</v>
      </c>
      <c r="S209" s="89">
        <f t="shared" si="118"/>
        <v>123.26567178650131</v>
      </c>
      <c r="T209" s="89">
        <f t="shared" si="118"/>
        <v>295.59027408001157</v>
      </c>
      <c r="U209" s="89">
        <f t="shared" si="118"/>
        <v>1.0831223233314131</v>
      </c>
      <c r="V209" s="89">
        <f t="shared" si="118"/>
        <v>0</v>
      </c>
      <c r="W209" s="89">
        <f t="shared" si="118"/>
        <v>0</v>
      </c>
      <c r="X209" s="91">
        <f>SUM(G209:W209)</f>
        <v>2648295.6800802383</v>
      </c>
      <c r="Y209" s="87" t="str">
        <f>IF(ABS(F209-X209)&lt;0.01,"ok","err")</f>
        <v>ok</v>
      </c>
      <c r="Z209" s="203" t="str">
        <f>IF(Y209="err",X209-F209,"")</f>
        <v/>
      </c>
    </row>
    <row r="210" spans="1:26" ht="12" customHeight="1" x14ac:dyDescent="0.5">
      <c r="A210" s="96" t="s">
        <v>392</v>
      </c>
      <c r="C210" s="86" t="s">
        <v>810</v>
      </c>
      <c r="D210" s="86" t="s">
        <v>671</v>
      </c>
      <c r="E210" s="86" t="s">
        <v>2177</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1469</v>
      </c>
      <c r="D211" s="86" t="s">
        <v>672</v>
      </c>
      <c r="F211" s="89">
        <f t="shared" ref="F211:U211" si="119">F209+F210</f>
        <v>4848571.238691207</v>
      </c>
      <c r="G211" s="89">
        <f t="shared" si="119"/>
        <v>3571606.1052254671</v>
      </c>
      <c r="H211" s="89">
        <f t="shared" ref="H211" si="120">H209+H210</f>
        <v>8011.8238359913794</v>
      </c>
      <c r="I211" s="89">
        <f t="shared" si="119"/>
        <v>668602.30359505152</v>
      </c>
      <c r="J211" s="89">
        <f>J209+J210</f>
        <v>26162.086003975419</v>
      </c>
      <c r="K211" s="89">
        <f>K209+K210</f>
        <v>267140.72329282691</v>
      </c>
      <c r="L211" s="89">
        <f>L209+L210</f>
        <v>0</v>
      </c>
      <c r="M211" s="89">
        <f t="shared" si="119"/>
        <v>215896.35029879198</v>
      </c>
      <c r="N211" s="89">
        <f t="shared" si="119"/>
        <v>0</v>
      </c>
      <c r="O211" s="89">
        <f t="shared" si="119"/>
        <v>0</v>
      </c>
      <c r="P211" s="89">
        <f t="shared" si="119"/>
        <v>0</v>
      </c>
      <c r="Q211" s="89">
        <f>Q209+Q210</f>
        <v>89578.540681744402</v>
      </c>
      <c r="R211" s="89">
        <f t="shared" si="119"/>
        <v>505.50461980426536</v>
      </c>
      <c r="S211" s="89">
        <f t="shared" si="119"/>
        <v>715.13966108180023</v>
      </c>
      <c r="T211" s="89">
        <f t="shared" si="119"/>
        <v>311.5868683852899</v>
      </c>
      <c r="U211" s="89">
        <f t="shared" si="119"/>
        <v>41.074608086527284</v>
      </c>
      <c r="V211" s="89">
        <f>V209+V210</f>
        <v>0</v>
      </c>
      <c r="W211" s="89">
        <f>W209+W210</f>
        <v>0</v>
      </c>
      <c r="X211" s="91">
        <f>SUM(G211:W211)</f>
        <v>4848571.2386912052</v>
      </c>
      <c r="Y211" s="87" t="str">
        <f>IF(ABS(F211-X211)&lt;0.01,"ok","err")</f>
        <v>ok</v>
      </c>
      <c r="Z211" s="91" t="str">
        <f>IF(Y211="err",X211-F211,"")</f>
        <v/>
      </c>
    </row>
    <row r="212" spans="1:26" ht="12" customHeight="1" x14ac:dyDescent="0.5">
      <c r="F212" s="90"/>
    </row>
    <row r="213" spans="1:26" ht="12" customHeight="1" x14ac:dyDescent="0.5">
      <c r="A213" s="23" t="s">
        <v>128</v>
      </c>
      <c r="F213" s="90"/>
    </row>
    <row r="214" spans="1:26" ht="12" customHeight="1" x14ac:dyDescent="0.5">
      <c r="A214" s="96" t="s">
        <v>392</v>
      </c>
      <c r="C214" s="86" t="s">
        <v>810</v>
      </c>
      <c r="D214" s="86" t="s">
        <v>673</v>
      </c>
      <c r="E214" s="86" t="s">
        <v>393</v>
      </c>
      <c r="F214" s="89">
        <f>VLOOKUP(C214,'WSS-26'!$C$1:$AU$617,26,)</f>
        <v>1814382.8487628764</v>
      </c>
      <c r="G214" s="89">
        <f t="shared" ref="G214:W214" si="121">IF(VLOOKUP($E214,$D$5:$W$977,3,)=0,0,(VLOOKUP($E214,$D$5:$W$977,G$1,)/VLOOKUP($E214,$D$5:$W$977,3,))*$F214)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F215" s="90"/>
    </row>
    <row r="216" spans="1:26" ht="12" customHeight="1" x14ac:dyDescent="0.5">
      <c r="A216" s="23" t="s">
        <v>127</v>
      </c>
      <c r="F216" s="90"/>
    </row>
    <row r="217" spans="1:26" ht="12" customHeight="1" x14ac:dyDescent="0.5">
      <c r="A217" s="96" t="s">
        <v>392</v>
      </c>
      <c r="C217" s="86" t="s">
        <v>810</v>
      </c>
      <c r="D217" s="86" t="s">
        <v>674</v>
      </c>
      <c r="E217" s="86" t="s">
        <v>2457</v>
      </c>
      <c r="F217" s="89">
        <f>VLOOKUP(C217,'WSS-26'!$C$1:$AU$617,27,)</f>
        <v>11537187.7496015</v>
      </c>
      <c r="G217" s="89">
        <f t="shared" ref="G217:W217" si="122">IF(VLOOKUP($E217,$D$5:$W$977,3,)=0,0,(VLOOKUP($E217,$D$5:$W$977,G$1,)/VLOOKUP($E217,$D$5:$W$977,3,))*$F217)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F218" s="90"/>
    </row>
    <row r="219" spans="1:26" ht="12" customHeight="1" x14ac:dyDescent="0.5">
      <c r="A219" s="23" t="s">
        <v>144</v>
      </c>
      <c r="F219" s="90"/>
    </row>
    <row r="220" spans="1:26" ht="12" customHeight="1" x14ac:dyDescent="0.5">
      <c r="A220" s="96" t="s">
        <v>392</v>
      </c>
      <c r="C220" s="86" t="s">
        <v>810</v>
      </c>
      <c r="D220" s="86" t="s">
        <v>675</v>
      </c>
      <c r="E220" s="86" t="s">
        <v>395</v>
      </c>
      <c r="F220" s="89">
        <f>VLOOKUP(C220,'WSS-26'!$C$1:$AU$617,28,)</f>
        <v>2077842.4946816051</v>
      </c>
      <c r="G220" s="89">
        <f t="shared" ref="G220:W220" si="123">IF(VLOOKUP($E220,$D$5:$W$977,3,)=0,0,(VLOOKUP($E220,$D$5:$W$977,G$1,)/VLOOKUP($E220,$D$5:$W$977,3,))*$F220)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F221" s="90"/>
    </row>
    <row r="222" spans="1:26" ht="12" customHeight="1" x14ac:dyDescent="0.5">
      <c r="A222" s="23" t="s">
        <v>292</v>
      </c>
      <c r="F222" s="90"/>
    </row>
    <row r="223" spans="1:26" ht="12" customHeight="1" x14ac:dyDescent="0.5">
      <c r="A223" s="96" t="s">
        <v>392</v>
      </c>
      <c r="C223" s="86" t="s">
        <v>810</v>
      </c>
      <c r="D223" s="86" t="s">
        <v>676</v>
      </c>
      <c r="E223" s="86" t="s">
        <v>396</v>
      </c>
      <c r="F223" s="89">
        <f>VLOOKUP(C223,'WSS-26'!$C$1:$AU$617,30,)</f>
        <v>56459202.694911122</v>
      </c>
      <c r="G223" s="89">
        <f t="shared" ref="G223:W223" si="124">IF(VLOOKUP($E223,$D$5:$W$977,3,)=0,0,(VLOOKUP($E223,$D$5:$W$977,G$1,)/VLOOKUP($E223,$D$5:$W$977,3,))*$F223)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F224" s="90"/>
    </row>
    <row r="225" spans="1:26" ht="12" customHeight="1" x14ac:dyDescent="0.5">
      <c r="A225" s="23" t="s">
        <v>1631</v>
      </c>
      <c r="F225" s="90"/>
    </row>
    <row r="226" spans="1:26" ht="12" customHeight="1" x14ac:dyDescent="0.5">
      <c r="A226" s="96" t="s">
        <v>392</v>
      </c>
      <c r="C226" s="86" t="s">
        <v>810</v>
      </c>
      <c r="D226" s="86" t="s">
        <v>677</v>
      </c>
      <c r="E226" s="86" t="s">
        <v>2563</v>
      </c>
      <c r="F226" s="89">
        <f>VLOOKUP(C226,'WSS-26'!$C$1:$AU$617,32,)</f>
        <v>7173759.7602191055</v>
      </c>
      <c r="G226" s="89">
        <f t="shared" ref="G226:W226" si="125">IF(VLOOKUP($E226,$D$5:$W$977,3,)=0,0,(VLOOKUP($E226,$D$5:$W$977,G$1,)/VLOOKUP($E226,$D$5:$W$977,3,))*$F226)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F227" s="90"/>
    </row>
    <row r="228" spans="1:26" ht="12" customHeight="1" x14ac:dyDescent="0.5">
      <c r="A228" s="23" t="s">
        <v>1630</v>
      </c>
      <c r="F228" s="90"/>
    </row>
    <row r="229" spans="1:26" ht="12" customHeight="1" x14ac:dyDescent="0.5">
      <c r="A229" s="96" t="s">
        <v>392</v>
      </c>
      <c r="C229" s="86" t="s">
        <v>810</v>
      </c>
      <c r="D229" s="86" t="s">
        <v>678</v>
      </c>
      <c r="E229" s="86" t="s">
        <v>397</v>
      </c>
      <c r="F229" s="89">
        <f>VLOOKUP(C229,'WSS-26'!$C$1:$AU$617,34,)</f>
        <v>0</v>
      </c>
      <c r="G229" s="89">
        <f t="shared" ref="G229:W229" si="126">IF(VLOOKUP($E229,$D$5:$W$977,3,)=0,0,(VLOOKUP($E229,$D$5:$W$977,G$1,)/VLOOKUP($E229,$D$5:$W$977,3,))*$F229)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F230" s="90"/>
    </row>
    <row r="231" spans="1:26" ht="12" customHeight="1" x14ac:dyDescent="0.5">
      <c r="A231" s="86" t="s">
        <v>62</v>
      </c>
      <c r="D231" s="86" t="s">
        <v>404</v>
      </c>
      <c r="F231" s="89">
        <f>F186+F192+F195+F198+F206+F211+F214+F217+F220+F223+F226+F229</f>
        <v>892295073</v>
      </c>
      <c r="G231" s="89">
        <f>G186+G192+G195+G198+G206+G211+G214+G217+G220+G223+G226+G229</f>
        <v>368559285.05166757</v>
      </c>
      <c r="H231" s="89">
        <f>H186+H192+H195+H198+H206+H211+H214+H217+H220+H223+H226+H229</f>
        <v>622964.87766435475</v>
      </c>
      <c r="I231" s="89">
        <f t="shared" ref="I231:U231" si="127">I186+I192+I195+I198+I206+I211+I214+I217+I220+I223+I226+I229</f>
        <v>102777582.98476294</v>
      </c>
      <c r="J231" s="89">
        <f>J186+J192+J195+J198+J206+J211+J214+J217+J220+J223+J226+J229</f>
        <v>6577092.3423008164</v>
      </c>
      <c r="K231" s="89">
        <f>K186+K192+K195+K198+K206+K211+K214+K217+K220+K223+K226+K229</f>
        <v>80219148.685030729</v>
      </c>
      <c r="L231" s="89">
        <f>L186+L192+L195+L198+L206+L211+L214+L217+L220+L223+L226+L229</f>
        <v>3698946.5650880304</v>
      </c>
      <c r="M231" s="89">
        <f t="shared" si="127"/>
        <v>80147030.111942157</v>
      </c>
      <c r="N231" s="89">
        <f t="shared" si="127"/>
        <v>161369012.01558807</v>
      </c>
      <c r="O231" s="89">
        <f t="shared" si="127"/>
        <v>54271582.06786228</v>
      </c>
      <c r="P231" s="89">
        <f>P186+P192+P195+P198+P206+P211+P214+P217+P220+P223+P226+P229</f>
        <v>23902042.703641675</v>
      </c>
      <c r="Q231" s="89">
        <f>Q186+Q192+Q195+Q198+Q206+Q211+Q214+Q217+Q220+Q223+Q226+Q229</f>
        <v>9699242.4408415016</v>
      </c>
      <c r="R231" s="89">
        <f t="shared" si="127"/>
        <v>167473.15473745018</v>
      </c>
      <c r="S231" s="89">
        <f t="shared" si="127"/>
        <v>140704.28056896492</v>
      </c>
      <c r="T231" s="89">
        <f t="shared" si="127"/>
        <v>22987.648508427035</v>
      </c>
      <c r="U231" s="89">
        <f t="shared" si="127"/>
        <v>21464.069794866617</v>
      </c>
      <c r="V231" s="89">
        <f>V186+V192+V195+V198+V206+V211+V214+V217+V220+V223+V226+V229</f>
        <v>91514</v>
      </c>
      <c r="W231" s="89">
        <f>W186+W192+W195+W198+W206+W211+W214+W217+W220+W223+W226+W229</f>
        <v>7000</v>
      </c>
      <c r="X231" s="91">
        <f>SUM(G231:W231)</f>
        <v>892295072.99999988</v>
      </c>
      <c r="Y231" s="87" t="str">
        <f>IF(ABS(F231-X231)&lt;0.01,"ok","err")</f>
        <v>ok</v>
      </c>
      <c r="Z231" s="203" t="str">
        <f>IF(Y231="err",X231-F231,"")</f>
        <v/>
      </c>
    </row>
    <row r="234" spans="1:26" ht="12" customHeight="1" x14ac:dyDescent="0.5">
      <c r="A234" s="22" t="s">
        <v>811</v>
      </c>
    </row>
    <row r="236" spans="1:26" ht="12" customHeight="1" x14ac:dyDescent="0.5">
      <c r="A236" s="23" t="s">
        <v>137</v>
      </c>
    </row>
    <row r="237" spans="1:26" ht="12" customHeight="1" x14ac:dyDescent="0.5">
      <c r="A237" s="96" t="s">
        <v>2274</v>
      </c>
      <c r="C237" s="86" t="s">
        <v>1016</v>
      </c>
      <c r="D237" s="86" t="s">
        <v>679</v>
      </c>
      <c r="E237" s="86" t="s">
        <v>2273</v>
      </c>
      <c r="F237" s="89">
        <f>VLOOKUP(C237,'WSS-26'!$C$1:$AU$617,6,)</f>
        <v>57141437.568190016</v>
      </c>
      <c r="G237" s="89">
        <f t="shared" ref="G237:P242" si="128">IF(VLOOKUP($E237,$D$5:$W$977,3,)=0,0,(VLOOKUP($E237,$D$5:$W$977,G$1,)/VLOOKUP($E237,$D$5:$W$977,3,))*$F237)</f>
        <v>23426501.693636492</v>
      </c>
      <c r="H237" s="89">
        <f t="shared" si="128"/>
        <v>23924.536654215368</v>
      </c>
      <c r="I237" s="89">
        <f t="shared" si="128"/>
        <v>6316215.7742228415</v>
      </c>
      <c r="J237" s="89">
        <f t="shared" si="128"/>
        <v>405294.3127363578</v>
      </c>
      <c r="K237" s="89">
        <f t="shared" si="128"/>
        <v>5890124.0371031957</v>
      </c>
      <c r="L237" s="89">
        <f t="shared" si="128"/>
        <v>255897.50859531551</v>
      </c>
      <c r="M237" s="89">
        <f t="shared" si="128"/>
        <v>5664688.317425007</v>
      </c>
      <c r="N237" s="89">
        <f t="shared" si="128"/>
        <v>10369838.895526217</v>
      </c>
      <c r="O237" s="89">
        <f t="shared" si="128"/>
        <v>3375538.6678257734</v>
      </c>
      <c r="P237" s="89">
        <f t="shared" si="128"/>
        <v>1397805.9179681863</v>
      </c>
      <c r="Q237" s="89">
        <f t="shared" ref="Q237:W242" si="129">IF(VLOOKUP($E237,$D$5:$W$977,3,)=0,0,(VLOOKUP($E237,$D$5:$W$977,Q$1,)/VLOOKUP($E237,$D$5:$W$977,3,))*$F237)</f>
        <v>9110.979833744419</v>
      </c>
      <c r="R237" s="89">
        <f t="shared" si="129"/>
        <v>331.48549109840116</v>
      </c>
      <c r="S237" s="89">
        <f t="shared" si="129"/>
        <v>5420.5437651066195</v>
      </c>
      <c r="T237" s="89">
        <f t="shared" si="129"/>
        <v>697.71677228097394</v>
      </c>
      <c r="U237" s="89">
        <f t="shared" si="129"/>
        <v>47.180634172808332</v>
      </c>
      <c r="V237" s="89">
        <f t="shared" si="129"/>
        <v>0</v>
      </c>
      <c r="W237" s="89">
        <f t="shared" si="129"/>
        <v>0</v>
      </c>
      <c r="X237" s="91">
        <f t="shared" ref="X237:X242" si="130">SUM(G237:W237)</f>
        <v>57141437.568189994</v>
      </c>
      <c r="Y237" s="87" t="str">
        <f t="shared" ref="Y237:Y242" si="131">IF(ABS(F237-X237)&lt;0.01,"ok","err")</f>
        <v>ok</v>
      </c>
      <c r="Z237" s="203" t="str">
        <f t="shared" ref="Z237:Z242" si="132">IF(Y237="err",X237-F237,"")</f>
        <v/>
      </c>
    </row>
    <row r="238" spans="1:26" ht="12" hidden="1" customHeight="1" x14ac:dyDescent="0.5">
      <c r="A238" s="96" t="s">
        <v>2275</v>
      </c>
      <c r="C238" s="86" t="s">
        <v>1016</v>
      </c>
      <c r="D238" s="86" t="s">
        <v>680</v>
      </c>
      <c r="E238" s="86" t="s">
        <v>2273</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2275</v>
      </c>
      <c r="C239" s="86" t="s">
        <v>1016</v>
      </c>
      <c r="D239" s="86" t="s">
        <v>681</v>
      </c>
      <c r="E239" s="86" t="s">
        <v>2273</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2277</v>
      </c>
      <c r="C240" s="86" t="s">
        <v>1016</v>
      </c>
      <c r="D240" s="86" t="s">
        <v>1633</v>
      </c>
      <c r="E240" s="86" t="s">
        <v>390</v>
      </c>
      <c r="F240" s="90">
        <f>VLOOKUP(C240,'WSS-26'!$C$1:$AU$617,9,)</f>
        <v>38829579.832689613</v>
      </c>
      <c r="G240" s="89">
        <f t="shared" si="128"/>
        <v>13385591.997975213</v>
      </c>
      <c r="H240" s="89">
        <f t="shared" si="128"/>
        <v>22009.72472048394</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2276</v>
      </c>
      <c r="C241" s="86" t="s">
        <v>1016</v>
      </c>
      <c r="D241" s="86" t="s">
        <v>1634</v>
      </c>
      <c r="E241" s="86"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2276</v>
      </c>
      <c r="C242" s="86" t="s">
        <v>1016</v>
      </c>
      <c r="D242" s="86" t="s">
        <v>1635</v>
      </c>
      <c r="E242" s="86"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86" t="s">
        <v>405</v>
      </c>
      <c r="F243" s="89">
        <f t="shared" ref="F243:U243" si="133">SUM(F237:F242)</f>
        <v>95971017.400879622</v>
      </c>
      <c r="G243" s="89">
        <f t="shared" si="133"/>
        <v>36812093.691611707</v>
      </c>
      <c r="H243" s="89">
        <f t="shared" ref="H243" si="134">SUM(H237:H242)</f>
        <v>45934.261374699308</v>
      </c>
      <c r="I243" s="89">
        <f t="shared" si="133"/>
        <v>10101781.822575845</v>
      </c>
      <c r="J243" s="89">
        <f>SUM(J237:J242)</f>
        <v>695274.80096573825</v>
      </c>
      <c r="K243" s="89">
        <f>SUM(K237:K242)</f>
        <v>9723159.7512124479</v>
      </c>
      <c r="L243" s="89">
        <f>SUM(L237:L242)</f>
        <v>429124.14997541124</v>
      </c>
      <c r="M243" s="89">
        <f t="shared" si="133"/>
        <v>9689487.3748767413</v>
      </c>
      <c r="N243" s="89">
        <f t="shared" si="133"/>
        <v>19066038.827702641</v>
      </c>
      <c r="O243" s="89">
        <f t="shared" si="133"/>
        <v>6402131.1930554323</v>
      </c>
      <c r="P243" s="89">
        <f t="shared" si="133"/>
        <v>2703333.7584864227</v>
      </c>
      <c r="Q243" s="89">
        <f>SUM(Q237:Q242)</f>
        <v>280141.56836356752</v>
      </c>
      <c r="R243" s="89">
        <f t="shared" si="133"/>
        <v>10192.412504709413</v>
      </c>
      <c r="S243" s="89">
        <f t="shared" si="133"/>
        <v>10817.886260818936</v>
      </c>
      <c r="T243" s="89">
        <f t="shared" si="133"/>
        <v>1434.0202985380001</v>
      </c>
      <c r="U243" s="89">
        <f t="shared" si="133"/>
        <v>71.881614894655229</v>
      </c>
      <c r="V243" s="89">
        <f>SUM(V237:V242)</f>
        <v>0</v>
      </c>
      <c r="W243" s="89">
        <f>SUM(W237:W242)</f>
        <v>0</v>
      </c>
      <c r="X243" s="91">
        <f>SUM(G243:W243)</f>
        <v>95971017.400879607</v>
      </c>
      <c r="Y243" s="87" t="str">
        <f>IF(ABS(F243-X243)&lt;0.01,"ok","err")</f>
        <v>ok</v>
      </c>
      <c r="Z243" s="91" t="str">
        <f>IF(Y243="err",X243-F243,"")</f>
        <v/>
      </c>
    </row>
    <row r="244" spans="1:26" ht="12" customHeight="1" x14ac:dyDescent="0.5">
      <c r="F244" s="90"/>
      <c r="G244" s="90"/>
      <c r="H244" s="90"/>
    </row>
    <row r="245" spans="1:26" ht="12" customHeight="1" x14ac:dyDescent="0.5">
      <c r="A245" s="23" t="s">
        <v>441</v>
      </c>
      <c r="F245" s="90"/>
      <c r="G245" s="90"/>
      <c r="H245" s="90"/>
    </row>
    <row r="246" spans="1:26" ht="12" customHeight="1" x14ac:dyDescent="0.5">
      <c r="A246" s="96" t="s">
        <v>2248</v>
      </c>
      <c r="C246" s="86" t="s">
        <v>1016</v>
      </c>
      <c r="D246" s="86" t="s">
        <v>1636</v>
      </c>
      <c r="E246" s="86" t="s">
        <v>2249</v>
      </c>
      <c r="F246" s="89">
        <f>VLOOKUP(C246,'WSS-26'!$C$1:$AU$617,13,)</f>
        <v>12471453.131564695</v>
      </c>
      <c r="G246" s="89">
        <f t="shared" ref="G246:P248" si="135">IF(VLOOKUP($E246,$D$5:$W$977,3,)=0,0,(VLOOKUP($E246,$D$5:$W$977,G$1,)/VLOOKUP($E246,$D$5:$W$977,3,))*$F246)</f>
        <v>5499144.5165800583</v>
      </c>
      <c r="H246" s="89">
        <f t="shared" si="135"/>
        <v>17667.362415495107</v>
      </c>
      <c r="I246" s="89">
        <f t="shared" si="135"/>
        <v>1414857.917828663</v>
      </c>
      <c r="J246" s="89">
        <f t="shared" si="135"/>
        <v>144802.63146693728</v>
      </c>
      <c r="K246" s="89">
        <f t="shared" si="135"/>
        <v>1262176.8695354904</v>
      </c>
      <c r="L246" s="89">
        <f t="shared" si="135"/>
        <v>54236.770293841146</v>
      </c>
      <c r="M246" s="89">
        <f t="shared" si="135"/>
        <v>1116603.5238608962</v>
      </c>
      <c r="N246" s="89">
        <f t="shared" si="135"/>
        <v>1818539.419455963</v>
      </c>
      <c r="O246" s="89">
        <f t="shared" si="135"/>
        <v>630630.15712209058</v>
      </c>
      <c r="P246" s="89">
        <f t="shared" si="135"/>
        <v>422570.57672495733</v>
      </c>
      <c r="Q246" s="89">
        <f t="shared" ref="Q246:W248" si="136">IF(VLOOKUP($E246,$D$5:$W$977,3,)=0,0,(VLOOKUP($E246,$D$5:$W$977,Q$1,)/VLOOKUP($E246,$D$5:$W$977,3,))*$F246)</f>
        <v>85110.363724455907</v>
      </c>
      <c r="R246" s="89">
        <f t="shared" si="136"/>
        <v>3096.5770127459546</v>
      </c>
      <c r="S246" s="89">
        <f t="shared" si="136"/>
        <v>834.29348064585145</v>
      </c>
      <c r="T246" s="89">
        <f t="shared" si="136"/>
        <v>1174.8212145405084</v>
      </c>
      <c r="U246" s="89">
        <f t="shared" si="136"/>
        <v>7.3308479157320647</v>
      </c>
      <c r="V246" s="89">
        <f t="shared" si="136"/>
        <v>0</v>
      </c>
      <c r="W246" s="89">
        <f t="shared" si="136"/>
        <v>0</v>
      </c>
      <c r="X246" s="91">
        <f>SUM(G246:W246)</f>
        <v>12471453.131564694</v>
      </c>
      <c r="Y246" s="87" t="str">
        <f>IF(ABS(F246-X246)&lt;0.01,"ok","err")</f>
        <v>ok</v>
      </c>
      <c r="Z246" s="203" t="str">
        <f>IF(Y246="err",X246-F246,"")</f>
        <v/>
      </c>
    </row>
    <row r="247" spans="1:26" ht="12" hidden="1" customHeight="1" x14ac:dyDescent="0.5">
      <c r="A247" s="96" t="s">
        <v>2247</v>
      </c>
      <c r="C247" s="86" t="s">
        <v>1016</v>
      </c>
      <c r="D247" s="86" t="s">
        <v>1637</v>
      </c>
      <c r="E247" s="86" t="s">
        <v>2249</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2247</v>
      </c>
      <c r="C248" s="86" t="s">
        <v>1016</v>
      </c>
      <c r="D248" s="86" t="s">
        <v>1638</v>
      </c>
      <c r="E248" s="86" t="s">
        <v>2249</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86" t="s">
        <v>1639</v>
      </c>
      <c r="F249" s="89">
        <f t="shared" ref="F249:U249" si="137">SUM(F246:F248)</f>
        <v>12471453.131564695</v>
      </c>
      <c r="G249" s="89">
        <f t="shared" si="137"/>
        <v>5499144.5165800583</v>
      </c>
      <c r="H249" s="89">
        <f t="shared" ref="H249" si="138">SUM(H246:H248)</f>
        <v>17667.362415495107</v>
      </c>
      <c r="I249" s="89">
        <f t="shared" si="137"/>
        <v>1414857.917828663</v>
      </c>
      <c r="J249" s="89">
        <f>SUM(J246:J248)</f>
        <v>144802.63146693728</v>
      </c>
      <c r="K249" s="89">
        <f>SUM(K246:K248)</f>
        <v>1262176.8695354904</v>
      </c>
      <c r="L249" s="89">
        <f>SUM(L246:L248)</f>
        <v>54236.770293841146</v>
      </c>
      <c r="M249" s="89">
        <f t="shared" si="137"/>
        <v>1116603.5238608962</v>
      </c>
      <c r="N249" s="89">
        <f t="shared" si="137"/>
        <v>1818539.419455963</v>
      </c>
      <c r="O249" s="89">
        <f t="shared" si="137"/>
        <v>630630.15712209058</v>
      </c>
      <c r="P249" s="89">
        <f t="shared" si="137"/>
        <v>422570.57672495733</v>
      </c>
      <c r="Q249" s="89">
        <f>SUM(Q246:Q248)</f>
        <v>85110.363724455907</v>
      </c>
      <c r="R249" s="89">
        <f t="shared" si="137"/>
        <v>3096.5770127459546</v>
      </c>
      <c r="S249" s="89">
        <f t="shared" si="137"/>
        <v>834.29348064585145</v>
      </c>
      <c r="T249" s="89">
        <f t="shared" si="137"/>
        <v>1174.8212145405084</v>
      </c>
      <c r="U249" s="89">
        <f t="shared" si="137"/>
        <v>7.3308479157320647</v>
      </c>
      <c r="V249" s="89">
        <f>SUM(V246:V248)</f>
        <v>0</v>
      </c>
      <c r="W249" s="89">
        <f>SUM(W246:W248)</f>
        <v>0</v>
      </c>
      <c r="X249" s="91">
        <f>SUM(G249:W249)</f>
        <v>12471453.131564694</v>
      </c>
      <c r="Y249" s="87" t="str">
        <f>IF(ABS(F249-X249)&lt;0.01,"ok","err")</f>
        <v>ok</v>
      </c>
      <c r="Z249" s="91" t="str">
        <f>IF(Y249="err",X249-F249,"")</f>
        <v/>
      </c>
    </row>
    <row r="250" spans="1:26" ht="12" customHeight="1" x14ac:dyDescent="0.5">
      <c r="F250" s="90"/>
      <c r="G250" s="90"/>
      <c r="H250" s="90"/>
    </row>
    <row r="251" spans="1:26" ht="12" customHeight="1" x14ac:dyDescent="0.5">
      <c r="A251" s="23" t="s">
        <v>1628</v>
      </c>
      <c r="F251" s="90"/>
      <c r="G251" s="90"/>
      <c r="H251" s="90"/>
    </row>
    <row r="252" spans="1:26" ht="12" customHeight="1" x14ac:dyDescent="0.5">
      <c r="A252" s="96" t="s">
        <v>145</v>
      </c>
      <c r="C252" s="86" t="s">
        <v>1016</v>
      </c>
      <c r="D252" s="86" t="s">
        <v>1640</v>
      </c>
      <c r="E252" s="86" t="s">
        <v>2253</v>
      </c>
      <c r="F252" s="89">
        <f>VLOOKUP(C252,'WSS-26'!$C$1:$AU$617,17,)</f>
        <v>0</v>
      </c>
      <c r="G252" s="89">
        <f t="shared" ref="G252:W252" si="139">IF(VLOOKUP($E252,$D$5:$W$977,3,)=0,0,(VLOOKUP($E252,$D$5:$W$977,G$1,)/VLOOKUP($E252,$D$5:$W$977,3,))*$F252)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F253" s="90"/>
    </row>
    <row r="254" spans="1:26" ht="12" customHeight="1" x14ac:dyDescent="0.5">
      <c r="A254" s="23" t="s">
        <v>1629</v>
      </c>
      <c r="F254" s="90"/>
      <c r="G254" s="90"/>
      <c r="H254" s="90"/>
    </row>
    <row r="255" spans="1:26" ht="12" customHeight="1" x14ac:dyDescent="0.5">
      <c r="A255" s="96" t="s">
        <v>147</v>
      </c>
      <c r="C255" s="86" t="s">
        <v>1016</v>
      </c>
      <c r="D255" s="86" t="s">
        <v>1641</v>
      </c>
      <c r="E255" s="86" t="s">
        <v>2253</v>
      </c>
      <c r="F255" s="89">
        <f>VLOOKUP(C255,'WSS-26'!$C$1:$AU$617,18,)</f>
        <v>5205663.0425945539</v>
      </c>
      <c r="G255" s="89">
        <f t="shared" ref="G255:W255" si="140">IF(VLOOKUP($E255,$D$5:$W$977,3,)=0,0,(VLOOKUP($E255,$D$5:$W$977,G$1,)/VLOOKUP($E255,$D$5:$W$977,3,))*$F255)</f>
        <v>2507099.3685136423</v>
      </c>
      <c r="H255" s="89">
        <f t="shared" si="140"/>
        <v>8054.6770541567748</v>
      </c>
      <c r="I255" s="89">
        <f t="shared" si="140"/>
        <v>645043.8575727375</v>
      </c>
      <c r="J255" s="89">
        <f t="shared" si="140"/>
        <v>66016.556723561953</v>
      </c>
      <c r="K255" s="89">
        <f t="shared" si="140"/>
        <v>575435.47419497708</v>
      </c>
      <c r="L255" s="89">
        <f t="shared" si="140"/>
        <v>24726.932006230178</v>
      </c>
      <c r="M255" s="89">
        <f t="shared" si="140"/>
        <v>509067.543344495</v>
      </c>
      <c r="N255" s="89">
        <f t="shared" si="140"/>
        <v>829085.14522375795</v>
      </c>
      <c r="O255" s="89">
        <f t="shared" si="140"/>
        <v>0</v>
      </c>
      <c r="P255" s="89">
        <f t="shared" si="140"/>
        <v>0</v>
      </c>
      <c r="Q255" s="89">
        <f t="shared" si="140"/>
        <v>38802.424359680554</v>
      </c>
      <c r="R255" s="89">
        <f t="shared" si="140"/>
        <v>1411.7516369686812</v>
      </c>
      <c r="S255" s="89">
        <f t="shared" si="140"/>
        <v>380.36037281360143</v>
      </c>
      <c r="T255" s="89">
        <f t="shared" si="140"/>
        <v>535.60940546488712</v>
      </c>
      <c r="U255" s="89">
        <f t="shared" si="140"/>
        <v>3.3421860663577343</v>
      </c>
      <c r="V255" s="89">
        <f t="shared" si="140"/>
        <v>0</v>
      </c>
      <c r="W255" s="89">
        <f t="shared" si="140"/>
        <v>0</v>
      </c>
      <c r="X255" s="91">
        <f>SUM(G255:W255)</f>
        <v>5205663.042594552</v>
      </c>
      <c r="Y255" s="87" t="str">
        <f>IF(ABS(F255-X255)&lt;0.01,"ok","err")</f>
        <v>ok</v>
      </c>
      <c r="Z255" s="203" t="str">
        <f>IF(Y255="err",X255-F255,"")</f>
        <v/>
      </c>
    </row>
    <row r="256" spans="1:26" ht="12" customHeight="1" x14ac:dyDescent="0.5">
      <c r="F256" s="90"/>
    </row>
    <row r="257" spans="1:26" ht="12" customHeight="1" x14ac:dyDescent="0.5">
      <c r="A257" s="23" t="s">
        <v>146</v>
      </c>
      <c r="F257" s="90"/>
    </row>
    <row r="258" spans="1:26" ht="12" customHeight="1" x14ac:dyDescent="0.5">
      <c r="A258" s="96" t="s">
        <v>792</v>
      </c>
      <c r="C258" s="86" t="s">
        <v>1016</v>
      </c>
      <c r="D258" s="86" t="s">
        <v>1642</v>
      </c>
      <c r="E258" s="86" t="s">
        <v>2253</v>
      </c>
      <c r="F258" s="89">
        <f>VLOOKUP(C258,'WSS-26'!$C$1:$AU$617,19,)</f>
        <v>0</v>
      </c>
      <c r="G258" s="89">
        <f t="shared" ref="G258:P262" si="141">IF(VLOOKUP($E258,$D$5:$W$977,3,)=0,0,(VLOOKUP($E258,$D$5:$W$977,G$1,)/VLOOKUP($E258,$D$5:$W$977,3,))*$F258)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IF(VLOOKUP($E258,$D$5:$W$977,3,)=0,0,(VLOOKUP($E258,$D$5:$W$977,Q$1,)/VLOOKUP($E258,$D$5:$W$977,3,))*$F258)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793</v>
      </c>
      <c r="C259" s="86" t="s">
        <v>1016</v>
      </c>
      <c r="D259" s="86" t="s">
        <v>1643</v>
      </c>
      <c r="E259" s="86" t="s">
        <v>2253</v>
      </c>
      <c r="F259" s="90">
        <f>VLOOKUP(C259,'WSS-26'!$C$1:$AU$617,20,)</f>
        <v>4140341.4187667705</v>
      </c>
      <c r="G259" s="89">
        <f t="shared" si="141"/>
        <v>1994029.8231918274</v>
      </c>
      <c r="H259" s="89">
        <f t="shared" si="141"/>
        <v>6406.3141907652334</v>
      </c>
      <c r="I259" s="89">
        <f t="shared" si="141"/>
        <v>513037.77800769726</v>
      </c>
      <c r="J259" s="89">
        <f t="shared" si="141"/>
        <v>52506.488009392669</v>
      </c>
      <c r="K259" s="89">
        <f t="shared" si="141"/>
        <v>457674.51871984778</v>
      </c>
      <c r="L259" s="89">
        <f t="shared" si="141"/>
        <v>19666.647630999632</v>
      </c>
      <c r="M259" s="89">
        <f t="shared" si="141"/>
        <v>404888.56412968202</v>
      </c>
      <c r="N259" s="89">
        <f t="shared" si="141"/>
        <v>659415.62839674286</v>
      </c>
      <c r="O259" s="89">
        <f t="shared" si="141"/>
        <v>0</v>
      </c>
      <c r="P259" s="89">
        <f t="shared" si="141"/>
        <v>0</v>
      </c>
      <c r="Q259" s="89">
        <f t="shared" si="142"/>
        <v>30861.637299689282</v>
      </c>
      <c r="R259" s="89">
        <f t="shared" si="142"/>
        <v>1122.8413609805884</v>
      </c>
      <c r="S259" s="89">
        <f t="shared" si="142"/>
        <v>302.52088787383701</v>
      </c>
      <c r="T259" s="89">
        <f t="shared" si="142"/>
        <v>425.99872246476417</v>
      </c>
      <c r="U259" s="89">
        <f t="shared" si="142"/>
        <v>2.6582188064307024</v>
      </c>
      <c r="V259" s="89">
        <f t="shared" si="142"/>
        <v>0</v>
      </c>
      <c r="W259" s="89">
        <f t="shared" si="142"/>
        <v>0</v>
      </c>
      <c r="X259" s="91">
        <f t="shared" si="143"/>
        <v>4140341.4187667705</v>
      </c>
      <c r="Y259" s="87" t="str">
        <f t="shared" si="144"/>
        <v>ok</v>
      </c>
      <c r="Z259" s="203" t="str">
        <f t="shared" si="145"/>
        <v/>
      </c>
    </row>
    <row r="260" spans="1:26" ht="12" customHeight="1" x14ac:dyDescent="0.5">
      <c r="A260" s="96" t="s">
        <v>794</v>
      </c>
      <c r="C260" s="86" t="s">
        <v>1016</v>
      </c>
      <c r="D260" s="86" t="s">
        <v>1644</v>
      </c>
      <c r="E260" s="86" t="s">
        <v>905</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795</v>
      </c>
      <c r="C261" s="86" t="s">
        <v>1016</v>
      </c>
      <c r="D261" s="86" t="s">
        <v>1645</v>
      </c>
      <c r="E261" s="86" t="s">
        <v>734</v>
      </c>
      <c r="F261" s="90">
        <f>VLOOKUP(C261,'WSS-26'!$C$1:$AU$617,22,)</f>
        <v>1863918.3649784985</v>
      </c>
      <c r="G261" s="89">
        <f t="shared" si="141"/>
        <v>1539373.5410562514</v>
      </c>
      <c r="H261" s="89">
        <f t="shared" si="141"/>
        <v>4629.0181305753949</v>
      </c>
      <c r="I261" s="89">
        <f t="shared" si="141"/>
        <v>287832.77501609584</v>
      </c>
      <c r="J261" s="89">
        <f t="shared" si="141"/>
        <v>20863.637951229994</v>
      </c>
      <c r="K261" s="89">
        <f t="shared" si="141"/>
        <v>0</v>
      </c>
      <c r="L261" s="89">
        <f t="shared" si="141"/>
        <v>0</v>
      </c>
      <c r="M261" s="89">
        <f t="shared" si="141"/>
        <v>0</v>
      </c>
      <c r="N261" s="89">
        <f t="shared" si="141"/>
        <v>0</v>
      </c>
      <c r="O261" s="89">
        <f t="shared" si="141"/>
        <v>0</v>
      </c>
      <c r="P261" s="89">
        <f t="shared" si="141"/>
        <v>0</v>
      </c>
      <c r="Q261" s="89">
        <f t="shared" si="142"/>
        <v>10723.211579461642</v>
      </c>
      <c r="R261" s="89">
        <f t="shared" si="142"/>
        <v>390.14344466055724</v>
      </c>
      <c r="S261" s="89">
        <f t="shared" si="142"/>
        <v>105.11417318453181</v>
      </c>
      <c r="T261" s="89">
        <f t="shared" si="142"/>
        <v>0</v>
      </c>
      <c r="U261" s="89">
        <f t="shared" si="142"/>
        <v>0.9236270392610505</v>
      </c>
      <c r="V261" s="89">
        <f t="shared" si="142"/>
        <v>0</v>
      </c>
      <c r="W261" s="89">
        <f t="shared" si="142"/>
        <v>0</v>
      </c>
      <c r="X261" s="91">
        <f t="shared" si="143"/>
        <v>1863918.3649784983</v>
      </c>
      <c r="Y261" s="87" t="str">
        <f t="shared" si="144"/>
        <v>ok</v>
      </c>
      <c r="Z261" s="203" t="str">
        <f t="shared" si="145"/>
        <v/>
      </c>
    </row>
    <row r="262" spans="1:26" ht="12" customHeight="1" x14ac:dyDescent="0.5">
      <c r="A262" s="96" t="s">
        <v>796</v>
      </c>
      <c r="C262" s="86" t="s">
        <v>1016</v>
      </c>
      <c r="D262" s="86" t="s">
        <v>1646</v>
      </c>
      <c r="E262" s="86" t="s">
        <v>904</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86" t="s">
        <v>1647</v>
      </c>
      <c r="F263" s="89">
        <f>SUM(F258:F262)</f>
        <v>17814899.397288296</v>
      </c>
      <c r="G263" s="89">
        <f t="shared" ref="G263:U263" si="146">SUM(G258:G262)</f>
        <v>13009730.89281621</v>
      </c>
      <c r="H263" s="89">
        <f t="shared" ref="H263" si="147">SUM(H258:H262)</f>
        <v>24894.881838327456</v>
      </c>
      <c r="I263" s="89">
        <f t="shared" si="146"/>
        <v>2576952.51465574</v>
      </c>
      <c r="J263" s="89">
        <f>SUM(J258:J262)</f>
        <v>82466.796231833825</v>
      </c>
      <c r="K263" s="89">
        <f>SUM(K258:K262)</f>
        <v>552953.55804637796</v>
      </c>
      <c r="L263" s="89">
        <f>SUM(L258:L262)</f>
        <v>22648.166941673458</v>
      </c>
      <c r="M263" s="89">
        <f t="shared" si="146"/>
        <v>421322.64296870976</v>
      </c>
      <c r="N263" s="89">
        <f t="shared" si="146"/>
        <v>663157.14282582374</v>
      </c>
      <c r="O263" s="89">
        <f t="shared" si="146"/>
        <v>0</v>
      </c>
      <c r="P263" s="89">
        <f t="shared" si="146"/>
        <v>0</v>
      </c>
      <c r="Q263" s="89">
        <f>SUM(Q258:Q262)</f>
        <v>454689.53301162983</v>
      </c>
      <c r="R263" s="89">
        <f t="shared" si="146"/>
        <v>1770.4377378452352</v>
      </c>
      <c r="S263" s="89">
        <f t="shared" si="146"/>
        <v>3582.8878915754749</v>
      </c>
      <c r="T263" s="89">
        <f t="shared" si="146"/>
        <v>511.81636653279406</v>
      </c>
      <c r="U263" s="89">
        <f t="shared" si="146"/>
        <v>218.12595601576646</v>
      </c>
      <c r="V263" s="89">
        <f>SUM(V258:V262)</f>
        <v>0</v>
      </c>
      <c r="W263" s="89">
        <f>SUM(W258:W262)</f>
        <v>0</v>
      </c>
      <c r="X263" s="91">
        <f t="shared" si="143"/>
        <v>17814899.397288296</v>
      </c>
      <c r="Y263" s="87" t="str">
        <f t="shared" si="144"/>
        <v>ok</v>
      </c>
      <c r="Z263" s="91" t="str">
        <f t="shared" si="145"/>
        <v/>
      </c>
    </row>
    <row r="264" spans="1:26" ht="12" customHeight="1" x14ac:dyDescent="0.5">
      <c r="F264" s="90"/>
    </row>
    <row r="265" spans="1:26" ht="12" customHeight="1" x14ac:dyDescent="0.5">
      <c r="A265" s="23" t="s">
        <v>791</v>
      </c>
      <c r="F265" s="90"/>
    </row>
    <row r="266" spans="1:26" ht="12" customHeight="1" x14ac:dyDescent="0.5">
      <c r="A266" s="96" t="s">
        <v>389</v>
      </c>
      <c r="C266" s="86" t="s">
        <v>1016</v>
      </c>
      <c r="D266" s="86" t="s">
        <v>1648</v>
      </c>
      <c r="E266" s="86" t="s">
        <v>2178</v>
      </c>
      <c r="F266" s="89">
        <f>VLOOKUP(C266,'WSS-26'!$C$1:$AU$617,24,)</f>
        <v>2717097.7355189216</v>
      </c>
      <c r="G266" s="89">
        <f t="shared" ref="G266:P267" si="148">IF(VLOOKUP($E266,$D$5:$W$977,3,)=0,0,(VLOOKUP($E266,$D$5:$W$977,G$1,)/VLOOKUP($E266,$D$5:$W$977,3,))*$F266)</f>
        <v>1852096.7700624969</v>
      </c>
      <c r="H266" s="89">
        <f t="shared" si="148"/>
        <v>5569.4016426427197</v>
      </c>
      <c r="I266" s="89">
        <f t="shared" si="148"/>
        <v>346305.90867480444</v>
      </c>
      <c r="J266" s="89">
        <f t="shared" si="148"/>
        <v>25102.079144943793</v>
      </c>
      <c r="K266" s="89">
        <f t="shared" si="148"/>
        <v>255859.34722551526</v>
      </c>
      <c r="L266" s="89">
        <f t="shared" si="148"/>
        <v>0</v>
      </c>
      <c r="M266" s="89">
        <f t="shared" si="148"/>
        <v>218362.35034372509</v>
      </c>
      <c r="N266" s="89">
        <f t="shared" si="148"/>
        <v>0</v>
      </c>
      <c r="O266" s="89">
        <f t="shared" si="148"/>
        <v>0</v>
      </c>
      <c r="P266" s="89">
        <f t="shared" si="148"/>
        <v>0</v>
      </c>
      <c r="Q266" s="89">
        <f t="shared" ref="Q266:W267" si="149">IF(VLOOKUP($E266,$D$5:$W$977,3,)=0,0,(VLOOKUP($E266,$D$5:$W$977,Q$1,)/VLOOKUP($E266,$D$5:$W$977,3,))*$F266)</f>
        <v>12901.628488034366</v>
      </c>
      <c r="R266" s="89">
        <f t="shared" si="149"/>
        <v>469.40095723684396</v>
      </c>
      <c r="S266" s="89">
        <f t="shared" si="149"/>
        <v>126.46808292500546</v>
      </c>
      <c r="T266" s="89">
        <f t="shared" si="149"/>
        <v>303.26963502802033</v>
      </c>
      <c r="U266" s="89">
        <f t="shared" si="149"/>
        <v>1.111261568770376</v>
      </c>
      <c r="V266" s="89">
        <f t="shared" si="149"/>
        <v>0</v>
      </c>
      <c r="W266" s="89">
        <f t="shared" si="149"/>
        <v>0</v>
      </c>
      <c r="X266" s="91">
        <f>SUM(G266:W266)</f>
        <v>2717097.7355189216</v>
      </c>
      <c r="Y266" s="87" t="str">
        <f>IF(ABS(F266-X266)&lt;0.01,"ok","err")</f>
        <v>ok</v>
      </c>
      <c r="Z266" s="203" t="str">
        <f>IF(Y266="err",X266-F266,"")</f>
        <v/>
      </c>
    </row>
    <row r="267" spans="1:26" ht="12" customHeight="1" x14ac:dyDescent="0.5">
      <c r="A267" s="96" t="s">
        <v>392</v>
      </c>
      <c r="C267" s="86" t="s">
        <v>1016</v>
      </c>
      <c r="D267" s="86" t="s">
        <v>1649</v>
      </c>
      <c r="E267" s="86" t="s">
        <v>2177</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1469</v>
      </c>
      <c r="D268" s="86" t="s">
        <v>1650</v>
      </c>
      <c r="F268" s="89">
        <f t="shared" ref="F268:U268" si="150">F266+F267</f>
        <v>4974535.8995378129</v>
      </c>
      <c r="G268" s="89">
        <f t="shared" si="150"/>
        <v>3664395.5331980325</v>
      </c>
      <c r="H268" s="89">
        <f t="shared" ref="H268" si="151">H266+H267</f>
        <v>8219.9690034192645</v>
      </c>
      <c r="I268" s="89">
        <f t="shared" si="150"/>
        <v>685972.42321741348</v>
      </c>
      <c r="J268" s="89">
        <f>J266+J267</f>
        <v>26841.770415794032</v>
      </c>
      <c r="K268" s="89">
        <f>K266+K267</f>
        <v>274080.97206949146</v>
      </c>
      <c r="L268" s="89">
        <f>L266+L267</f>
        <v>0</v>
      </c>
      <c r="M268" s="89">
        <f t="shared" si="150"/>
        <v>221505.28315851584</v>
      </c>
      <c r="N268" s="89">
        <f t="shared" si="150"/>
        <v>0</v>
      </c>
      <c r="O268" s="89">
        <f t="shared" si="150"/>
        <v>0</v>
      </c>
      <c r="P268" s="89">
        <f t="shared" si="150"/>
        <v>0</v>
      </c>
      <c r="Q268" s="89">
        <f>Q266+Q267</f>
        <v>91905.768630065868</v>
      </c>
      <c r="R268" s="89">
        <f t="shared" si="150"/>
        <v>518.6375026382658</v>
      </c>
      <c r="S268" s="89">
        <f t="shared" si="150"/>
        <v>733.71880954254186</v>
      </c>
      <c r="T268" s="89">
        <f t="shared" si="150"/>
        <v>319.68181682849428</v>
      </c>
      <c r="U268" s="89">
        <f t="shared" si="150"/>
        <v>42.141716069955258</v>
      </c>
      <c r="V268" s="89">
        <f>V266+V267</f>
        <v>0</v>
      </c>
      <c r="W268" s="89">
        <f>W266+W267</f>
        <v>0</v>
      </c>
      <c r="X268" s="91">
        <f>SUM(G268:W268)</f>
        <v>4974535.8995378111</v>
      </c>
      <c r="Y268" s="87" t="str">
        <f>IF(ABS(F268-X268)&lt;0.01,"ok","err")</f>
        <v>ok</v>
      </c>
      <c r="Z268" s="91" t="str">
        <f>IF(Y268="err",X268-F268,"")</f>
        <v/>
      </c>
    </row>
    <row r="269" spans="1:26" ht="12" customHeight="1" x14ac:dyDescent="0.5">
      <c r="F269" s="90"/>
    </row>
    <row r="270" spans="1:26" ht="12" customHeight="1" x14ac:dyDescent="0.5">
      <c r="A270" s="23" t="s">
        <v>128</v>
      </c>
      <c r="F270" s="90"/>
    </row>
    <row r="271" spans="1:26" ht="12" customHeight="1" x14ac:dyDescent="0.5">
      <c r="A271" s="96" t="s">
        <v>392</v>
      </c>
      <c r="C271" s="86" t="s">
        <v>1016</v>
      </c>
      <c r="D271" s="86" t="s">
        <v>1651</v>
      </c>
      <c r="E271" s="86" t="s">
        <v>393</v>
      </c>
      <c r="F271" s="89">
        <f>VLOOKUP(C271,'WSS-26'!$C$1:$AU$617,26,)</f>
        <v>1903307.4052082608</v>
      </c>
      <c r="G271" s="89">
        <f t="shared" ref="G271:W271" si="152">IF(VLOOKUP($E271,$D$5:$W$977,3,)=0,0,(VLOOKUP($E271,$D$5:$W$977,G$1,)/VLOOKUP($E271,$D$5:$W$977,3,))*$F271)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F272" s="90"/>
    </row>
    <row r="273" spans="1:26" ht="12" customHeight="1" x14ac:dyDescent="0.5">
      <c r="A273" s="23" t="s">
        <v>127</v>
      </c>
      <c r="F273" s="90"/>
    </row>
    <row r="274" spans="1:26" ht="12" customHeight="1" x14ac:dyDescent="0.5">
      <c r="A274" s="96" t="s">
        <v>392</v>
      </c>
      <c r="C274" s="86" t="s">
        <v>1016</v>
      </c>
      <c r="D274" s="86" t="s">
        <v>1652</v>
      </c>
      <c r="E274" s="86" t="s">
        <v>394</v>
      </c>
      <c r="F274" s="89">
        <f>VLOOKUP(C274,'WSS-26'!$C$1:$AU$617,27,)</f>
        <v>1131970.7649802638</v>
      </c>
      <c r="G274" s="89">
        <f t="shared" ref="G274:W274" si="153">IF(VLOOKUP($E274,$D$5:$W$977,3,)=0,0,(VLOOKUP($E274,$D$5:$W$977,G$1,)/VLOOKUP($E274,$D$5:$W$977,3,))*$F274)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F275" s="90"/>
    </row>
    <row r="276" spans="1:26" ht="12" customHeight="1" x14ac:dyDescent="0.5">
      <c r="A276" s="23" t="s">
        <v>144</v>
      </c>
      <c r="F276" s="90"/>
    </row>
    <row r="277" spans="1:26" ht="12" customHeight="1" x14ac:dyDescent="0.5">
      <c r="A277" s="96" t="s">
        <v>392</v>
      </c>
      <c r="C277" s="86" t="s">
        <v>1016</v>
      </c>
      <c r="D277" s="86" t="s">
        <v>1653</v>
      </c>
      <c r="E277" s="86" t="s">
        <v>395</v>
      </c>
      <c r="F277" s="89">
        <f>VLOOKUP(C277,'WSS-26'!$C$1:$AU$617,28,)</f>
        <v>2179679.4484033175</v>
      </c>
      <c r="G277" s="89">
        <f t="shared" ref="G277:W277" si="154">IF(VLOOKUP($E277,$D$5:$W$977,3,)=0,0,(VLOOKUP($E277,$D$5:$W$977,G$1,)/VLOOKUP($E277,$D$5:$W$977,3,))*$F277)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F278" s="90"/>
    </row>
    <row r="279" spans="1:26" ht="12" customHeight="1" x14ac:dyDescent="0.5">
      <c r="A279" s="23" t="s">
        <v>292</v>
      </c>
      <c r="F279" s="90"/>
    </row>
    <row r="280" spans="1:26" ht="12" customHeight="1" x14ac:dyDescent="0.5">
      <c r="A280" s="96" t="s">
        <v>392</v>
      </c>
      <c r="C280" s="86" t="s">
        <v>1016</v>
      </c>
      <c r="D280" s="86" t="s">
        <v>1654</v>
      </c>
      <c r="E280" s="86" t="s">
        <v>396</v>
      </c>
      <c r="F280" s="89">
        <f>VLOOKUP(C280,'WSS-26'!$C$1:$AU$617,30,)</f>
        <v>28207727.550637387</v>
      </c>
      <c r="G280" s="89">
        <f t="shared" ref="G280:W280" si="155">IF(VLOOKUP($E280,$D$5:$W$977,3,)=0,0,(VLOOKUP($E280,$D$5:$W$977,G$1,)/VLOOKUP($E280,$D$5:$W$977,3,))*$F280)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F281" s="90"/>
    </row>
    <row r="282" spans="1:26" ht="12" customHeight="1" x14ac:dyDescent="0.5">
      <c r="A282" s="23" t="s">
        <v>1631</v>
      </c>
      <c r="F282" s="90"/>
    </row>
    <row r="283" spans="1:26" ht="12" customHeight="1" x14ac:dyDescent="0.5">
      <c r="A283" s="96" t="s">
        <v>392</v>
      </c>
      <c r="C283" s="86" t="s">
        <v>1016</v>
      </c>
      <c r="D283" s="86" t="s">
        <v>1655</v>
      </c>
      <c r="E283" s="86" t="s">
        <v>396</v>
      </c>
      <c r="F283" s="89">
        <f>VLOOKUP(C283,'WSS-26'!$C$1:$AU$617,32,)</f>
        <v>3368177.9589057751</v>
      </c>
      <c r="G283" s="89">
        <f t="shared" ref="G283:W283" si="156">IF(VLOOKUP($E283,$D$5:$W$977,3,)=0,0,(VLOOKUP($E283,$D$5:$W$977,G$1,)/VLOOKUP($E283,$D$5:$W$977,3,))*$F283)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F284" s="90"/>
    </row>
    <row r="285" spans="1:26" ht="12" customHeight="1" x14ac:dyDescent="0.5">
      <c r="A285" s="23" t="s">
        <v>1630</v>
      </c>
      <c r="F285" s="90"/>
    </row>
    <row r="286" spans="1:26" ht="12" customHeight="1" x14ac:dyDescent="0.5">
      <c r="A286" s="96" t="s">
        <v>392</v>
      </c>
      <c r="C286" s="86" t="s">
        <v>1016</v>
      </c>
      <c r="D286" s="86" t="s">
        <v>1656</v>
      </c>
      <c r="E286" s="86" t="s">
        <v>397</v>
      </c>
      <c r="F286" s="89">
        <f>VLOOKUP(C286,'WSS-26'!$C$1:$AU$617,34,)</f>
        <v>0</v>
      </c>
      <c r="G286" s="89">
        <f t="shared" ref="G286:W286" si="157">IF(VLOOKUP($E286,$D$5:$W$977,3,)=0,0,(VLOOKUP($E286,$D$5:$W$977,G$1,)/VLOOKUP($E286,$D$5:$W$977,3,))*$F286)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F287" s="90"/>
    </row>
    <row r="288" spans="1:26" ht="12" customHeight="1" x14ac:dyDescent="0.5">
      <c r="A288" s="86" t="s">
        <v>62</v>
      </c>
      <c r="D288" s="86" t="s">
        <v>406</v>
      </c>
      <c r="F288" s="89">
        <f>F243+F249+F252+F255+F263+F268+F271+F274+F277+F280+F283+F286</f>
        <v>173228432</v>
      </c>
      <c r="G288" s="89">
        <f t="shared" ref="G288:U288" si="158">G243+G249+G252+G255+G263+G268+G271+G274+G277+G280+G283+G286</f>
        <v>84160595.111224994</v>
      </c>
      <c r="H288" s="89">
        <f t="shared" ref="H288" si="159">H243+H249+H252+H255+H263+H268+H271+H274+H277+H280+H283+H286</f>
        <v>137925.53774423766</v>
      </c>
      <c r="I288" s="89">
        <f t="shared" si="158"/>
        <v>23716635.476122238</v>
      </c>
      <c r="J288" s="89">
        <f>J243+J249+J252+J255+J263+J268+J271+J274+J277+J280+J283+J286</f>
        <v>1220713.302464758</v>
      </c>
      <c r="K288" s="89">
        <f>K243+K249+K252+K255+K263+K268+K271+K274+K277+K280+K283+K286</f>
        <v>13547749.008209158</v>
      </c>
      <c r="L288" s="89">
        <f>L243+L249+L252+L255+L263+L268+L271+L274+L277+L280+L283+L286</f>
        <v>594908.60130814847</v>
      </c>
      <c r="M288" s="89">
        <f t="shared" si="158"/>
        <v>12874018.994538624</v>
      </c>
      <c r="N288" s="89">
        <f t="shared" si="158"/>
        <v>22703490.410837635</v>
      </c>
      <c r="O288" s="89">
        <f t="shared" si="158"/>
        <v>7070766.8487955704</v>
      </c>
      <c r="P288" s="89">
        <f>P243+P249+P252+P255+P263+P268+P271+P274+P277+P280+P283+P286</f>
        <v>3129137.7313022576</v>
      </c>
      <c r="Q288" s="89">
        <f>Q243+Q249+Q252+Q255+Q263+Q268+Q271+Q274+Q277+Q280+Q283+Q286</f>
        <v>4023216.8638044139</v>
      </c>
      <c r="R288" s="89">
        <f t="shared" si="158"/>
        <v>17713.245739742295</v>
      </c>
      <c r="S288" s="89">
        <f t="shared" si="158"/>
        <v>25269.896063498054</v>
      </c>
      <c r="T288" s="89">
        <f t="shared" si="158"/>
        <v>5020.714823854848</v>
      </c>
      <c r="U288" s="89">
        <f t="shared" si="158"/>
        <v>1270.2570208447794</v>
      </c>
      <c r="V288" s="89">
        <f>V243+V249+V252+V255+V263+V268+V271+V274+V277+V280+V283+V286</f>
        <v>0</v>
      </c>
      <c r="W288" s="89">
        <f>W243+W249+W252+W255+W263+W268+W271+W274+W277+W280+W283+W286</f>
        <v>0</v>
      </c>
      <c r="X288" s="91">
        <f>SUM(G288:W288)</f>
        <v>173228431.99999994</v>
      </c>
      <c r="Y288" s="87" t="str">
        <f>IF(ABS(F288-X288)&lt;0.01,"ok","err")</f>
        <v>ok</v>
      </c>
      <c r="Z288" s="91" t="str">
        <f>IF(Y288="err",X288-F288,"")</f>
        <v/>
      </c>
    </row>
    <row r="291" spans="1:26" ht="12" customHeight="1" x14ac:dyDescent="0.5">
      <c r="A291" s="22" t="s">
        <v>813</v>
      </c>
    </row>
    <row r="293" spans="1:26" ht="12" customHeight="1" x14ac:dyDescent="0.5">
      <c r="A293" s="23" t="s">
        <v>137</v>
      </c>
    </row>
    <row r="294" spans="1:26" ht="12" customHeight="1" x14ac:dyDescent="0.5">
      <c r="A294" s="96" t="s">
        <v>2274</v>
      </c>
      <c r="C294" s="86" t="s">
        <v>815</v>
      </c>
      <c r="D294" s="86" t="s">
        <v>1657</v>
      </c>
      <c r="E294" s="86" t="s">
        <v>2407</v>
      </c>
      <c r="F294" s="89">
        <f>VLOOKUP(C294,'WSS-26'!$C$1:$AU$617,6,)</f>
        <v>288540355.83999676</v>
      </c>
      <c r="G294" s="89">
        <f t="shared" ref="G294:P299" si="160">IF(VLOOKUP($E294,$D$5:$W$977,3,)=0,0,(VLOOKUP($E294,$D$5:$W$977,G$1,)/VLOOKUP($E294,$D$5:$W$977,3,))*$F294)</f>
        <v>118244455.02613318</v>
      </c>
      <c r="H294" s="89">
        <f t="shared" si="160"/>
        <v>120758.26922117398</v>
      </c>
      <c r="I294" s="89">
        <f t="shared" si="160"/>
        <v>31880880.116783291</v>
      </c>
      <c r="J294" s="89">
        <f t="shared" si="160"/>
        <v>2045708.9906735711</v>
      </c>
      <c r="K294" s="89">
        <f t="shared" si="160"/>
        <v>29730196.847648963</v>
      </c>
      <c r="L294" s="89">
        <f t="shared" si="160"/>
        <v>1291633.8018415116</v>
      </c>
      <c r="M294" s="89">
        <f t="shared" si="160"/>
        <v>28592317.869158018</v>
      </c>
      <c r="N294" s="89">
        <f t="shared" si="160"/>
        <v>52341402.26935254</v>
      </c>
      <c r="O294" s="89">
        <f t="shared" si="160"/>
        <v>17037914.385019727</v>
      </c>
      <c r="P294" s="89">
        <f t="shared" si="160"/>
        <v>7055376.9044973953</v>
      </c>
      <c r="Q294" s="89">
        <f t="shared" ref="Q294:W299" si="161">IF(VLOOKUP($E294,$D$5:$W$977,3,)=0,0,(VLOOKUP($E294,$D$5:$W$977,Q$1,)/VLOOKUP($E294,$D$5:$W$977,3,))*$F294)</f>
        <v>45987.354803719543</v>
      </c>
      <c r="R294" s="89">
        <f t="shared" si="161"/>
        <v>1673.1615226462829</v>
      </c>
      <c r="S294" s="89">
        <f t="shared" si="161"/>
        <v>27360.006706611337</v>
      </c>
      <c r="T294" s="89">
        <f t="shared" si="161"/>
        <v>3521.7012159936285</v>
      </c>
      <c r="U294" s="89">
        <f t="shared" si="161"/>
        <v>238.14261508223822</v>
      </c>
      <c r="V294" s="89">
        <f t="shared" si="161"/>
        <v>106487.13</v>
      </c>
      <c r="W294" s="89">
        <f t="shared" si="161"/>
        <v>14443.86</v>
      </c>
      <c r="X294" s="91">
        <f t="shared" ref="X294:X300" si="162">SUM(G294:W294)</f>
        <v>288540355.83719337</v>
      </c>
      <c r="Y294" s="87" t="str">
        <f t="shared" ref="Y294:Y300" si="163">IF(ABS(F294-X294)&lt;0.01,"ok","err")</f>
        <v>ok</v>
      </c>
      <c r="Z294" s="203" t="str">
        <f t="shared" ref="Z294:Z300" si="164">IF(Y294="err",X294-F294,"")</f>
        <v/>
      </c>
    </row>
    <row r="295" spans="1:26" ht="12" hidden="1" customHeight="1" x14ac:dyDescent="0.5">
      <c r="A295" s="96" t="s">
        <v>2275</v>
      </c>
      <c r="C295" s="86" t="s">
        <v>815</v>
      </c>
      <c r="D295" s="86" t="s">
        <v>1658</v>
      </c>
      <c r="E295" s="86" t="s">
        <v>2273</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2275</v>
      </c>
      <c r="C296" s="86" t="s">
        <v>815</v>
      </c>
      <c r="D296" s="86" t="s">
        <v>1659</v>
      </c>
      <c r="E296" s="86" t="s">
        <v>2273</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2277</v>
      </c>
      <c r="C297" s="86" t="s">
        <v>815</v>
      </c>
      <c r="D297" s="86" t="s">
        <v>1660</v>
      </c>
      <c r="E297" s="86"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2276</v>
      </c>
      <c r="C298" s="86" t="s">
        <v>815</v>
      </c>
      <c r="D298" s="86" t="s">
        <v>1661</v>
      </c>
      <c r="E298" s="86"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2276</v>
      </c>
      <c r="C299" s="86" t="s">
        <v>815</v>
      </c>
      <c r="D299" s="86" t="s">
        <v>1662</v>
      </c>
      <c r="E299" s="86"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86" t="s">
        <v>1663</v>
      </c>
      <c r="F300" s="89">
        <f t="shared" ref="F300:U300" si="165">SUM(F294:F299)</f>
        <v>288540355.83999676</v>
      </c>
      <c r="G300" s="89">
        <f t="shared" si="165"/>
        <v>118244455.02613318</v>
      </c>
      <c r="H300" s="89">
        <f t="shared" ref="H300" si="166">SUM(H294:H299)</f>
        <v>120758.26922117398</v>
      </c>
      <c r="I300" s="89">
        <f t="shared" si="165"/>
        <v>31880880.116783291</v>
      </c>
      <c r="J300" s="89">
        <f>SUM(J294:J299)</f>
        <v>2045708.9906735711</v>
      </c>
      <c r="K300" s="89">
        <f>SUM(K294:K299)</f>
        <v>29730196.847648963</v>
      </c>
      <c r="L300" s="89">
        <f>SUM(L294:L299)</f>
        <v>1291633.8018415116</v>
      </c>
      <c r="M300" s="89">
        <f t="shared" si="165"/>
        <v>28592317.869158018</v>
      </c>
      <c r="N300" s="89">
        <f t="shared" si="165"/>
        <v>52341402.26935254</v>
      </c>
      <c r="O300" s="89">
        <f t="shared" si="165"/>
        <v>17037914.385019727</v>
      </c>
      <c r="P300" s="89">
        <f t="shared" si="165"/>
        <v>7055376.9044973953</v>
      </c>
      <c r="Q300" s="89">
        <f>SUM(Q294:Q299)</f>
        <v>45987.354803719543</v>
      </c>
      <c r="R300" s="89">
        <f t="shared" si="165"/>
        <v>1673.1615226462829</v>
      </c>
      <c r="S300" s="89">
        <f t="shared" si="165"/>
        <v>27360.006706611337</v>
      </c>
      <c r="T300" s="89">
        <f t="shared" si="165"/>
        <v>3521.7012159936285</v>
      </c>
      <c r="U300" s="89">
        <f t="shared" si="165"/>
        <v>238.14261508223822</v>
      </c>
      <c r="V300" s="89">
        <f>SUM(V294:V299)</f>
        <v>106487.13</v>
      </c>
      <c r="W300" s="89">
        <f>SUM(W294:W299)</f>
        <v>14443.86</v>
      </c>
      <c r="X300" s="91">
        <f t="shared" si="162"/>
        <v>288540355.83719337</v>
      </c>
      <c r="Y300" s="87" t="str">
        <f t="shared" si="163"/>
        <v>ok</v>
      </c>
      <c r="Z300" s="203" t="str">
        <f t="shared" si="164"/>
        <v/>
      </c>
    </row>
    <row r="301" spans="1:26" ht="12" customHeight="1" x14ac:dyDescent="0.5">
      <c r="F301" s="90"/>
      <c r="G301" s="90"/>
      <c r="H301" s="90"/>
    </row>
    <row r="302" spans="1:26" ht="12" customHeight="1" x14ac:dyDescent="0.5">
      <c r="A302" s="23" t="s">
        <v>441</v>
      </c>
      <c r="F302" s="90"/>
      <c r="G302" s="90"/>
      <c r="H302" s="90"/>
    </row>
    <row r="303" spans="1:26" ht="12" customHeight="1" x14ac:dyDescent="0.5">
      <c r="A303" s="96" t="s">
        <v>2248</v>
      </c>
      <c r="C303" s="86" t="s">
        <v>815</v>
      </c>
      <c r="D303" s="86" t="s">
        <v>1664</v>
      </c>
      <c r="E303" s="86" t="s">
        <v>2249</v>
      </c>
      <c r="F303" s="89">
        <f>VLOOKUP(C303,'WSS-26'!$C$1:$AU$617,13,)</f>
        <v>35077932.518008411</v>
      </c>
      <c r="G303" s="89">
        <f t="shared" ref="G303:P305" si="167">IF(VLOOKUP($E303,$D$5:$W$977,3,)=0,0,(VLOOKUP($E303,$D$5:$W$977,G$1,)/VLOOKUP($E303,$D$5:$W$977,3,))*$F303)</f>
        <v>15467212.859995713</v>
      </c>
      <c r="H303" s="89">
        <f t="shared" si="167"/>
        <v>49692.248372678783</v>
      </c>
      <c r="I303" s="89">
        <f t="shared" si="167"/>
        <v>3979511.4523223969</v>
      </c>
      <c r="J303" s="89">
        <f t="shared" si="167"/>
        <v>407280.2809298613</v>
      </c>
      <c r="K303" s="89">
        <f t="shared" si="167"/>
        <v>3550071.8792183171</v>
      </c>
      <c r="L303" s="89">
        <f t="shared" si="167"/>
        <v>152549.48627813905</v>
      </c>
      <c r="M303" s="89">
        <f t="shared" si="167"/>
        <v>3140623.8428006498</v>
      </c>
      <c r="N303" s="89">
        <f t="shared" si="167"/>
        <v>5114929.4604301779</v>
      </c>
      <c r="O303" s="89">
        <f t="shared" si="167"/>
        <v>1773746.9613193632</v>
      </c>
      <c r="P303" s="89">
        <f t="shared" si="167"/>
        <v>1188546.5164390379</v>
      </c>
      <c r="Q303" s="89">
        <f t="shared" ref="Q303:W305" si="168">IF(VLOOKUP($E303,$D$5:$W$977,3,)=0,0,(VLOOKUP($E303,$D$5:$W$977,Q$1,)/VLOOKUP($E303,$D$5:$W$977,3,))*$F303)</f>
        <v>239386.3460668796</v>
      </c>
      <c r="R303" s="89">
        <f t="shared" si="168"/>
        <v>8709.6121313243293</v>
      </c>
      <c r="S303" s="89">
        <f t="shared" si="168"/>
        <v>2346.5822391009415</v>
      </c>
      <c r="T303" s="89">
        <f t="shared" si="168"/>
        <v>3304.3702966797987</v>
      </c>
      <c r="U303" s="89">
        <f t="shared" si="168"/>
        <v>20.619168093331016</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2247</v>
      </c>
      <c r="C304" s="86" t="s">
        <v>815</v>
      </c>
      <c r="D304" s="86" t="s">
        <v>1665</v>
      </c>
      <c r="E304" s="86" t="s">
        <v>2249</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2247</v>
      </c>
      <c r="C305" s="86" t="s">
        <v>815</v>
      </c>
      <c r="D305" s="86" t="s">
        <v>1666</v>
      </c>
      <c r="E305" s="86" t="s">
        <v>2249</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86" t="s">
        <v>1667</v>
      </c>
      <c r="F306" s="89">
        <f t="shared" ref="F306:U306" si="169">SUM(F303:F305)</f>
        <v>35077932.518008411</v>
      </c>
      <c r="G306" s="89">
        <f t="shared" si="169"/>
        <v>15467212.859995713</v>
      </c>
      <c r="H306" s="89">
        <f t="shared" ref="H306" si="170">SUM(H303:H305)</f>
        <v>49692.248372678783</v>
      </c>
      <c r="I306" s="89">
        <f t="shared" si="169"/>
        <v>3979511.4523223969</v>
      </c>
      <c r="J306" s="89">
        <f>SUM(J303:J305)</f>
        <v>407280.2809298613</v>
      </c>
      <c r="K306" s="89">
        <f>SUM(K303:K305)</f>
        <v>3550071.8792183171</v>
      </c>
      <c r="L306" s="89">
        <f>SUM(L303:L305)</f>
        <v>152549.48627813905</v>
      </c>
      <c r="M306" s="89">
        <f t="shared" si="169"/>
        <v>3140623.8428006498</v>
      </c>
      <c r="N306" s="89">
        <f t="shared" si="169"/>
        <v>5114929.4604301779</v>
      </c>
      <c r="O306" s="89">
        <f t="shared" si="169"/>
        <v>1773746.9613193632</v>
      </c>
      <c r="P306" s="89">
        <f t="shared" si="169"/>
        <v>1188546.5164390379</v>
      </c>
      <c r="Q306" s="89">
        <f>SUM(Q303:Q305)</f>
        <v>239386.3460668796</v>
      </c>
      <c r="R306" s="89">
        <f t="shared" si="169"/>
        <v>8709.6121313243293</v>
      </c>
      <c r="S306" s="89">
        <f t="shared" si="169"/>
        <v>2346.5822391009415</v>
      </c>
      <c r="T306" s="89">
        <f t="shared" si="169"/>
        <v>3304.3702966797987</v>
      </c>
      <c r="U306" s="89">
        <f t="shared" si="169"/>
        <v>20.619168093331016</v>
      </c>
      <c r="V306" s="89">
        <f>SUM(V303:V305)</f>
        <v>0</v>
      </c>
      <c r="W306" s="89">
        <f>SUM(W303:W305)</f>
        <v>0</v>
      </c>
      <c r="X306" s="91">
        <f>SUM(G306:W306)</f>
        <v>35077932.518008411</v>
      </c>
      <c r="Y306" s="87" t="str">
        <f>IF(ABS(F306-X306)&lt;0.01,"ok","err")</f>
        <v>ok</v>
      </c>
      <c r="Z306" s="91" t="str">
        <f>IF(Y306="err",X306-F306,"")</f>
        <v/>
      </c>
    </row>
    <row r="307" spans="1:26" ht="12" customHeight="1" x14ac:dyDescent="0.5">
      <c r="F307" s="90"/>
      <c r="G307" s="90"/>
      <c r="H307" s="90"/>
    </row>
    <row r="308" spans="1:26" ht="12" customHeight="1" x14ac:dyDescent="0.5">
      <c r="A308" s="23" t="s">
        <v>1628</v>
      </c>
      <c r="F308" s="90"/>
      <c r="G308" s="90"/>
      <c r="H308" s="90"/>
    </row>
    <row r="309" spans="1:26" ht="12" customHeight="1" x14ac:dyDescent="0.5">
      <c r="A309" s="96" t="s">
        <v>145</v>
      </c>
      <c r="C309" s="86" t="s">
        <v>815</v>
      </c>
      <c r="D309" s="86" t="s">
        <v>1668</v>
      </c>
      <c r="E309" s="86" t="s">
        <v>2253</v>
      </c>
      <c r="F309" s="89">
        <f>VLOOKUP(C309,'WSS-26'!$C$1:$AU$617,17,)</f>
        <v>0</v>
      </c>
      <c r="G309" s="89">
        <f t="shared" ref="G309:W309" si="171">IF(VLOOKUP($E309,$D$5:$W$977,3,)=0,0,(VLOOKUP($E309,$D$5:$W$977,G$1,)/VLOOKUP($E309,$D$5:$W$977,3,))*$F309)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F310" s="90"/>
    </row>
    <row r="311" spans="1:26" ht="12" customHeight="1" x14ac:dyDescent="0.5">
      <c r="A311" s="23" t="s">
        <v>1629</v>
      </c>
      <c r="F311" s="90"/>
      <c r="G311" s="90"/>
      <c r="H311" s="90"/>
    </row>
    <row r="312" spans="1:26" ht="12" customHeight="1" x14ac:dyDescent="0.5">
      <c r="A312" s="96" t="s">
        <v>147</v>
      </c>
      <c r="C312" s="86" t="s">
        <v>815</v>
      </c>
      <c r="D312" s="86" t="s">
        <v>1669</v>
      </c>
      <c r="E312" s="86" t="s">
        <v>2253</v>
      </c>
      <c r="F312" s="89">
        <f>VLOOKUP(C312,'WSS-26'!$C$1:$AU$617,18,)</f>
        <v>7353571.5914639523</v>
      </c>
      <c r="G312" s="89">
        <f t="shared" ref="G312:W312" si="172">IF(VLOOKUP($E312,$D$5:$W$977,3,)=0,0,(VLOOKUP($E312,$D$5:$W$977,G$1,)/VLOOKUP($E312,$D$5:$W$977,3,))*$F312)</f>
        <v>3541553.6008435888</v>
      </c>
      <c r="H312" s="89">
        <f t="shared" si="172"/>
        <v>11378.117231026668</v>
      </c>
      <c r="I312" s="89">
        <f t="shared" si="172"/>
        <v>911195.3938399856</v>
      </c>
      <c r="J312" s="89">
        <f t="shared" si="172"/>
        <v>93255.647189699201</v>
      </c>
      <c r="K312" s="89">
        <f t="shared" si="172"/>
        <v>812865.89645490143</v>
      </c>
      <c r="L312" s="89">
        <f t="shared" si="172"/>
        <v>34929.511045426501</v>
      </c>
      <c r="M312" s="89">
        <f t="shared" si="172"/>
        <v>719113.89466511505</v>
      </c>
      <c r="N312" s="89">
        <f t="shared" si="172"/>
        <v>1171173.9543909316</v>
      </c>
      <c r="O312" s="89">
        <f t="shared" si="172"/>
        <v>0</v>
      </c>
      <c r="P312" s="89">
        <f t="shared" si="172"/>
        <v>0</v>
      </c>
      <c r="Q312" s="89">
        <f t="shared" si="172"/>
        <v>54812.692084860973</v>
      </c>
      <c r="R312" s="89">
        <f t="shared" si="172"/>
        <v>1994.2544584371376</v>
      </c>
      <c r="S312" s="89">
        <f t="shared" si="172"/>
        <v>537.30086045805251</v>
      </c>
      <c r="T312" s="89">
        <f t="shared" si="172"/>
        <v>756.60719411151763</v>
      </c>
      <c r="U312" s="89">
        <f t="shared" si="172"/>
        <v>4.7212054083902961</v>
      </c>
      <c r="V312" s="89">
        <f t="shared" si="172"/>
        <v>0</v>
      </c>
      <c r="W312" s="89">
        <f t="shared" si="172"/>
        <v>0</v>
      </c>
      <c r="X312" s="91">
        <f>SUM(G312:W312)</f>
        <v>7353571.5914639514</v>
      </c>
      <c r="Y312" s="87" t="str">
        <f>IF(ABS(F312-X312)&lt;0.01,"ok","err")</f>
        <v>ok</v>
      </c>
      <c r="Z312" s="203" t="str">
        <f>IF(Y312="err",X312-F312,"")</f>
        <v/>
      </c>
    </row>
    <row r="313" spans="1:26" ht="12" customHeight="1" x14ac:dyDescent="0.5">
      <c r="F313" s="90"/>
    </row>
    <row r="314" spans="1:26" ht="12" customHeight="1" x14ac:dyDescent="0.5">
      <c r="A314" s="23" t="s">
        <v>146</v>
      </c>
      <c r="F314" s="90"/>
    </row>
    <row r="315" spans="1:26" ht="12" customHeight="1" x14ac:dyDescent="0.5">
      <c r="A315" s="96" t="s">
        <v>792</v>
      </c>
      <c r="C315" s="86" t="s">
        <v>815</v>
      </c>
      <c r="D315" s="86" t="s">
        <v>1670</v>
      </c>
      <c r="E315" s="86" t="s">
        <v>2253</v>
      </c>
      <c r="F315" s="89">
        <f>VLOOKUP(C315,'WSS-26'!$C$1:$AU$617,19,)</f>
        <v>0</v>
      </c>
      <c r="G315" s="89">
        <f t="shared" ref="G315:P319" si="173">IF(VLOOKUP($E315,$D$5:$W$977,3,)=0,0,(VLOOKUP($E315,$D$5:$W$977,G$1,)/VLOOKUP($E315,$D$5:$W$977,3,))*$F315)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IF(VLOOKUP($E315,$D$5:$W$977,3,)=0,0,(VLOOKUP($E315,$D$5:$W$977,Q$1,)/VLOOKUP($E315,$D$5:$W$977,3,))*$F315)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793</v>
      </c>
      <c r="C316" s="86" t="s">
        <v>815</v>
      </c>
      <c r="D316" s="86" t="s">
        <v>1671</v>
      </c>
      <c r="E316" s="86" t="s">
        <v>2253</v>
      </c>
      <c r="F316" s="90">
        <f>VLOOKUP(C316,'WSS-26'!$C$1:$AU$617,20,)</f>
        <v>5848687.6286234111</v>
      </c>
      <c r="G316" s="89">
        <f t="shared" si="173"/>
        <v>2816786.4382261289</v>
      </c>
      <c r="H316" s="89">
        <f t="shared" si="173"/>
        <v>9049.6233916292531</v>
      </c>
      <c r="I316" s="89">
        <f t="shared" si="173"/>
        <v>724722.28779234632</v>
      </c>
      <c r="J316" s="89">
        <f t="shared" si="173"/>
        <v>74171.189228754098</v>
      </c>
      <c r="K316" s="89">
        <f t="shared" si="173"/>
        <v>646515.5949313594</v>
      </c>
      <c r="L316" s="89">
        <f t="shared" si="173"/>
        <v>27781.302811057591</v>
      </c>
      <c r="M316" s="89">
        <f t="shared" si="173"/>
        <v>571949.62842018786</v>
      </c>
      <c r="N316" s="89">
        <f t="shared" si="173"/>
        <v>931497.10080520657</v>
      </c>
      <c r="O316" s="89">
        <f t="shared" si="173"/>
        <v>0</v>
      </c>
      <c r="P316" s="89">
        <f t="shared" si="173"/>
        <v>0</v>
      </c>
      <c r="Q316" s="89">
        <f t="shared" si="174"/>
        <v>43595.456996761088</v>
      </c>
      <c r="R316" s="89">
        <f t="shared" si="174"/>
        <v>1586.1369178655591</v>
      </c>
      <c r="S316" s="89">
        <f t="shared" si="174"/>
        <v>427.3440268205934</v>
      </c>
      <c r="T316" s="89">
        <f t="shared" si="174"/>
        <v>601.77004886499549</v>
      </c>
      <c r="U316" s="89">
        <f t="shared" si="174"/>
        <v>3.7550264277423162</v>
      </c>
      <c r="V316" s="89">
        <f t="shared" si="174"/>
        <v>0</v>
      </c>
      <c r="W316" s="89">
        <f t="shared" si="174"/>
        <v>0</v>
      </c>
      <c r="X316" s="91">
        <f t="shared" si="175"/>
        <v>5848687.6286234111</v>
      </c>
      <c r="Y316" s="87" t="str">
        <f t="shared" si="176"/>
        <v>ok</v>
      </c>
      <c r="Z316" s="203" t="str">
        <f t="shared" si="177"/>
        <v/>
      </c>
    </row>
    <row r="317" spans="1:26" ht="12" customHeight="1" x14ac:dyDescent="0.5">
      <c r="A317" s="96" t="s">
        <v>794</v>
      </c>
      <c r="C317" s="86" t="s">
        <v>815</v>
      </c>
      <c r="D317" s="86" t="s">
        <v>1672</v>
      </c>
      <c r="E317" s="86" t="s">
        <v>905</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795</v>
      </c>
      <c r="C318" s="86" t="s">
        <v>815</v>
      </c>
      <c r="D318" s="86" t="s">
        <v>1673</v>
      </c>
      <c r="E318" s="86" t="s">
        <v>734</v>
      </c>
      <c r="F318" s="90">
        <f>VLOOKUP(C318,'WSS-26'!$C$1:$AU$617,22,)</f>
        <v>2632989.6932173292</v>
      </c>
      <c r="G318" s="89">
        <f t="shared" si="173"/>
        <v>2174534.434430195</v>
      </c>
      <c r="H318" s="89">
        <f t="shared" si="173"/>
        <v>6538.9972310626172</v>
      </c>
      <c r="I318" s="89">
        <f t="shared" si="173"/>
        <v>406595.4519399057</v>
      </c>
      <c r="J318" s="89">
        <f t="shared" si="173"/>
        <v>29472.183289121775</v>
      </c>
      <c r="K318" s="89">
        <f t="shared" si="173"/>
        <v>0</v>
      </c>
      <c r="L318" s="89">
        <f t="shared" si="173"/>
        <v>0</v>
      </c>
      <c r="M318" s="89">
        <f t="shared" si="173"/>
        <v>0</v>
      </c>
      <c r="N318" s="89">
        <f t="shared" si="173"/>
        <v>0</v>
      </c>
      <c r="O318" s="89">
        <f t="shared" si="173"/>
        <v>0</v>
      </c>
      <c r="P318" s="89">
        <f t="shared" si="173"/>
        <v>0</v>
      </c>
      <c r="Q318" s="89">
        <f t="shared" si="174"/>
        <v>15147.715746251</v>
      </c>
      <c r="R318" s="89">
        <f t="shared" si="174"/>
        <v>551.12052543106017</v>
      </c>
      <c r="S318" s="89">
        <f t="shared" si="174"/>
        <v>148.48533058427495</v>
      </c>
      <c r="T318" s="89">
        <f t="shared" si="174"/>
        <v>0</v>
      </c>
      <c r="U318" s="89">
        <f t="shared" si="174"/>
        <v>1.3047247778897424</v>
      </c>
      <c r="V318" s="89">
        <f t="shared" si="174"/>
        <v>0</v>
      </c>
      <c r="W318" s="89">
        <f t="shared" si="174"/>
        <v>0</v>
      </c>
      <c r="X318" s="91">
        <f t="shared" si="175"/>
        <v>2632989.6932173292</v>
      </c>
      <c r="Y318" s="87" t="str">
        <f t="shared" si="176"/>
        <v>ok</v>
      </c>
      <c r="Z318" s="203" t="str">
        <f t="shared" si="177"/>
        <v/>
      </c>
    </row>
    <row r="319" spans="1:26" ht="12" customHeight="1" x14ac:dyDescent="0.5">
      <c r="A319" s="96" t="s">
        <v>796</v>
      </c>
      <c r="C319" s="86" t="s">
        <v>815</v>
      </c>
      <c r="D319" s="86" t="s">
        <v>1674</v>
      </c>
      <c r="E319" s="86" t="s">
        <v>904</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86" t="s">
        <v>1675</v>
      </c>
      <c r="F320" s="89">
        <f>SUM(F315:F319)</f>
        <v>25165504.766784564</v>
      </c>
      <c r="G320" s="89">
        <f t="shared" ref="G320:U320" si="178">SUM(G315:G319)</f>
        <v>18377675.758729547</v>
      </c>
      <c r="H320" s="89">
        <f t="shared" ref="H320" si="179">SUM(H315:H319)</f>
        <v>35166.75865519228</v>
      </c>
      <c r="I320" s="89">
        <f t="shared" si="178"/>
        <v>3640228.8525534808</v>
      </c>
      <c r="J320" s="89">
        <f>SUM(J315:J319)</f>
        <v>116493.41977140555</v>
      </c>
      <c r="K320" s="89">
        <f>SUM(K315:K319)</f>
        <v>781107.71722599457</v>
      </c>
      <c r="L320" s="89">
        <f>SUM(L315:L319)</f>
        <v>31993.026759184031</v>
      </c>
      <c r="M320" s="89">
        <f t="shared" si="178"/>
        <v>595164.57227915898</v>
      </c>
      <c r="N320" s="89">
        <f t="shared" si="178"/>
        <v>936782.40144599264</v>
      </c>
      <c r="O320" s="89">
        <f t="shared" si="178"/>
        <v>0</v>
      </c>
      <c r="P320" s="89">
        <f t="shared" si="178"/>
        <v>0</v>
      </c>
      <c r="Q320" s="89">
        <f>SUM(Q315:Q319)</f>
        <v>642298.97431545088</v>
      </c>
      <c r="R320" s="89">
        <f t="shared" si="178"/>
        <v>2500.9380259436857</v>
      </c>
      <c r="S320" s="89">
        <f t="shared" si="178"/>
        <v>5061.2232100520214</v>
      </c>
      <c r="T320" s="89">
        <f t="shared" si="178"/>
        <v>722.99690974735097</v>
      </c>
      <c r="U320" s="89">
        <f t="shared" si="178"/>
        <v>308.12690341152074</v>
      </c>
      <c r="V320" s="89">
        <f>SUM(V315:V319)</f>
        <v>0</v>
      </c>
      <c r="W320" s="89">
        <f>SUM(W315:W319)</f>
        <v>0</v>
      </c>
      <c r="X320" s="91">
        <f t="shared" si="175"/>
        <v>25165504.76678456</v>
      </c>
      <c r="Y320" s="87" t="str">
        <f t="shared" si="176"/>
        <v>ok</v>
      </c>
      <c r="Z320" s="91" t="str">
        <f t="shared" si="177"/>
        <v/>
      </c>
    </row>
    <row r="321" spans="1:26" ht="12" customHeight="1" x14ac:dyDescent="0.5">
      <c r="F321" s="90"/>
    </row>
    <row r="322" spans="1:26" ht="12" customHeight="1" x14ac:dyDescent="0.5">
      <c r="A322" s="23" t="s">
        <v>791</v>
      </c>
      <c r="F322" s="90"/>
    </row>
    <row r="323" spans="1:26" ht="12" customHeight="1" x14ac:dyDescent="0.5">
      <c r="A323" s="96" t="s">
        <v>389</v>
      </c>
      <c r="C323" s="86" t="s">
        <v>815</v>
      </c>
      <c r="D323" s="86" t="s">
        <v>1676</v>
      </c>
      <c r="E323" s="86" t="s">
        <v>2178</v>
      </c>
      <c r="F323" s="89">
        <f>VLOOKUP(C323,'WSS-26'!$C$1:$AU$617,24,)</f>
        <v>3838199.390866559</v>
      </c>
      <c r="G323" s="89">
        <f t="shared" ref="G323:P324" si="180">IF(VLOOKUP($E323,$D$5:$W$977,3,)=0,0,(VLOOKUP($E323,$D$5:$W$977,G$1,)/VLOOKUP($E323,$D$5:$W$977,3,))*$F323)</f>
        <v>2616290.3902027463</v>
      </c>
      <c r="H323" s="89">
        <f t="shared" si="180"/>
        <v>7867.3923697485025</v>
      </c>
      <c r="I323" s="89">
        <f t="shared" si="180"/>
        <v>489195.18438863615</v>
      </c>
      <c r="J323" s="89">
        <f t="shared" si="180"/>
        <v>35459.447639341815</v>
      </c>
      <c r="K323" s="89">
        <f t="shared" si="180"/>
        <v>361429.4685947079</v>
      </c>
      <c r="L323" s="89">
        <f t="shared" si="180"/>
        <v>0</v>
      </c>
      <c r="M323" s="89">
        <f t="shared" si="180"/>
        <v>308460.83639954479</v>
      </c>
      <c r="N323" s="89">
        <f t="shared" si="180"/>
        <v>0</v>
      </c>
      <c r="O323" s="89">
        <f t="shared" si="180"/>
        <v>0</v>
      </c>
      <c r="P323" s="89">
        <f t="shared" si="180"/>
        <v>0</v>
      </c>
      <c r="Q323" s="89">
        <f t="shared" ref="Q323:W324" si="181">IF(VLOOKUP($E323,$D$5:$W$977,3,)=0,0,(VLOOKUP($E323,$D$5:$W$977,Q$1,)/VLOOKUP($E323,$D$5:$W$977,3,))*$F323)</f>
        <v>18224.969222354019</v>
      </c>
      <c r="R323" s="89">
        <f t="shared" si="181"/>
        <v>663.08047906659033</v>
      </c>
      <c r="S323" s="89">
        <f t="shared" si="181"/>
        <v>178.65007669814719</v>
      </c>
      <c r="T323" s="89">
        <f t="shared" si="181"/>
        <v>428.40171452668199</v>
      </c>
      <c r="U323" s="89">
        <f t="shared" si="181"/>
        <v>1.5697791877675249</v>
      </c>
      <c r="V323" s="89">
        <f t="shared" si="181"/>
        <v>0</v>
      </c>
      <c r="W323" s="89">
        <f t="shared" si="181"/>
        <v>0</v>
      </c>
      <c r="X323" s="91">
        <f>SUM(G323:W323)</f>
        <v>3838199.3908665595</v>
      </c>
      <c r="Y323" s="87" t="str">
        <f>IF(ABS(F323-X323)&lt;0.01,"ok","err")</f>
        <v>ok</v>
      </c>
      <c r="Z323" s="203" t="str">
        <f>IF(Y323="err",X323-F323,"")</f>
        <v/>
      </c>
    </row>
    <row r="324" spans="1:26" ht="12" customHeight="1" x14ac:dyDescent="0.5">
      <c r="A324" s="96" t="s">
        <v>392</v>
      </c>
      <c r="C324" s="86" t="s">
        <v>815</v>
      </c>
      <c r="D324" s="86" t="s">
        <v>1677</v>
      </c>
      <c r="E324" s="86" t="s">
        <v>2177</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1469</v>
      </c>
      <c r="D325" s="86" t="s">
        <v>1678</v>
      </c>
      <c r="F325" s="89">
        <f t="shared" ref="F325:U325" si="182">F323+F324</f>
        <v>7027079.0814241199</v>
      </c>
      <c r="G325" s="89">
        <f t="shared" si="182"/>
        <v>5176361.7184453998</v>
      </c>
      <c r="H325" s="89">
        <f t="shared" ref="H325" si="183">H323+H324</f>
        <v>11611.610288961612</v>
      </c>
      <c r="I325" s="89">
        <f t="shared" si="182"/>
        <v>969011.49433312239</v>
      </c>
      <c r="J325" s="89">
        <f>J323+J324</f>
        <v>37916.952899011099</v>
      </c>
      <c r="K325" s="89">
        <f>K323+K324</f>
        <v>387169.5177885553</v>
      </c>
      <c r="L325" s="89">
        <f>L323+L324</f>
        <v>0</v>
      </c>
      <c r="M325" s="89">
        <f t="shared" si="182"/>
        <v>312900.57467526809</v>
      </c>
      <c r="N325" s="89">
        <f t="shared" si="182"/>
        <v>0</v>
      </c>
      <c r="O325" s="89">
        <f t="shared" si="182"/>
        <v>0</v>
      </c>
      <c r="P325" s="89">
        <f t="shared" si="182"/>
        <v>0</v>
      </c>
      <c r="Q325" s="89">
        <f>Q323+Q324</f>
        <v>129827.00642738257</v>
      </c>
      <c r="R325" s="89">
        <f t="shared" si="182"/>
        <v>732.63251471760782</v>
      </c>
      <c r="S325" s="89">
        <f t="shared" si="182"/>
        <v>1036.4585163940301</v>
      </c>
      <c r="T325" s="89">
        <f t="shared" si="182"/>
        <v>451.58572641035448</v>
      </c>
      <c r="U325" s="89">
        <f t="shared" si="182"/>
        <v>59.529808896948794</v>
      </c>
      <c r="V325" s="89">
        <f>V323+V324</f>
        <v>0</v>
      </c>
      <c r="W325" s="89">
        <f>W323+W324</f>
        <v>0</v>
      </c>
      <c r="X325" s="91">
        <f>SUM(G325:W325)</f>
        <v>7027079.0814241199</v>
      </c>
      <c r="Y325" s="87" t="str">
        <f>IF(ABS(F325-X325)&lt;0.01,"ok","err")</f>
        <v>ok</v>
      </c>
      <c r="Z325" s="91" t="str">
        <f>IF(Y325="err",X325-F325,"")</f>
        <v/>
      </c>
    </row>
    <row r="326" spans="1:26" ht="12" customHeight="1" x14ac:dyDescent="0.5">
      <c r="F326" s="90"/>
    </row>
    <row r="327" spans="1:26" ht="12" customHeight="1" x14ac:dyDescent="0.5">
      <c r="A327" s="23" t="s">
        <v>128</v>
      </c>
      <c r="F327" s="90"/>
    </row>
    <row r="328" spans="1:26" ht="12" customHeight="1" x14ac:dyDescent="0.5">
      <c r="A328" s="96" t="s">
        <v>392</v>
      </c>
      <c r="C328" s="86" t="s">
        <v>815</v>
      </c>
      <c r="D328" s="86" t="s">
        <v>1679</v>
      </c>
      <c r="E328" s="86" t="s">
        <v>393</v>
      </c>
      <c r="F328" s="89">
        <f>VLOOKUP(C328,'WSS-26'!$C$1:$AU$617,26,)</f>
        <v>2688631.0447375085</v>
      </c>
      <c r="G328" s="89">
        <f t="shared" ref="G328:W328" si="184">IF(VLOOKUP($E328,$D$5:$W$977,3,)=0,0,(VLOOKUP($E328,$D$5:$W$977,G$1,)/VLOOKUP($E328,$D$5:$W$977,3,))*$F328)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F329" s="90"/>
    </row>
    <row r="330" spans="1:26" ht="12" customHeight="1" x14ac:dyDescent="0.5">
      <c r="A330" s="23" t="s">
        <v>127</v>
      </c>
      <c r="F330" s="90"/>
    </row>
    <row r="331" spans="1:26" ht="12" customHeight="1" x14ac:dyDescent="0.5">
      <c r="A331" s="96" t="s">
        <v>392</v>
      </c>
      <c r="C331" s="86" t="s">
        <v>815</v>
      </c>
      <c r="D331" s="86" t="s">
        <v>1680</v>
      </c>
      <c r="E331" s="86" t="s">
        <v>2460</v>
      </c>
      <c r="F331" s="89">
        <f>VLOOKUP(C331,'WSS-26'!$C$1:$AU$617,27,)</f>
        <v>1599033.2051107571</v>
      </c>
      <c r="G331" s="89">
        <f t="shared" ref="G331:W331" si="185">IF(VLOOKUP($E331,$D$5:$W$977,3,)=0,0,(VLOOKUP($E331,$D$5:$W$977,G$1,)/VLOOKUP($E331,$D$5:$W$977,3,))*$F331)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F332" s="90"/>
    </row>
    <row r="333" spans="1:26" ht="12" customHeight="1" x14ac:dyDescent="0.5">
      <c r="A333" s="23" t="s">
        <v>144</v>
      </c>
      <c r="F333" s="90"/>
    </row>
    <row r="334" spans="1:26" ht="12" customHeight="1" x14ac:dyDescent="0.5">
      <c r="A334" s="96" t="s">
        <v>392</v>
      </c>
      <c r="C334" s="86" t="s">
        <v>815</v>
      </c>
      <c r="D334" s="86" t="s">
        <v>1681</v>
      </c>
      <c r="E334" s="86" t="s">
        <v>395</v>
      </c>
      <c r="F334" s="89">
        <f>VLOOKUP(C334,'WSS-26'!$C$1:$AU$617,28,)</f>
        <v>3079036.9524739203</v>
      </c>
      <c r="G334" s="89">
        <f t="shared" ref="G334:W334" si="186">IF(VLOOKUP($E334,$D$5:$W$977,3,)=0,0,(VLOOKUP($E334,$D$5:$W$977,G$1,)/VLOOKUP($E334,$D$5:$W$977,3,))*$F334)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F335" s="90"/>
    </row>
    <row r="336" spans="1:26" ht="12" customHeight="1" x14ac:dyDescent="0.5">
      <c r="A336" s="23" t="s">
        <v>292</v>
      </c>
      <c r="F336" s="90"/>
    </row>
    <row r="337" spans="1:26" ht="12" customHeight="1" x14ac:dyDescent="0.5">
      <c r="A337" s="96" t="s">
        <v>392</v>
      </c>
      <c r="C337" s="86" t="s">
        <v>815</v>
      </c>
      <c r="D337" s="86" t="s">
        <v>1682</v>
      </c>
      <c r="E337" s="86" t="s">
        <v>396</v>
      </c>
      <c r="F337" s="89">
        <f>VLOOKUP(C337,'WSS-26'!$C$1:$AU$617,30,)</f>
        <v>0</v>
      </c>
      <c r="G337" s="89">
        <f t="shared" ref="G337:W337" si="187">IF(VLOOKUP($E337,$D$5:$W$977,3,)=0,0,(VLOOKUP($E337,$D$5:$W$977,G$1,)/VLOOKUP($E337,$D$5:$W$977,3,))*$F337)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F338" s="90"/>
    </row>
    <row r="339" spans="1:26" ht="12" customHeight="1" x14ac:dyDescent="0.5">
      <c r="A339" s="23" t="s">
        <v>1631</v>
      </c>
      <c r="F339" s="90"/>
    </row>
    <row r="340" spans="1:26" ht="12" customHeight="1" x14ac:dyDescent="0.5">
      <c r="A340" s="96" t="s">
        <v>392</v>
      </c>
      <c r="C340" s="86" t="s">
        <v>815</v>
      </c>
      <c r="D340" s="86" t="s">
        <v>1683</v>
      </c>
      <c r="E340" s="86" t="s">
        <v>396</v>
      </c>
      <c r="F340" s="89">
        <f>VLOOKUP(C340,'WSS-26'!$C$1:$AU$617,32,)</f>
        <v>0</v>
      </c>
      <c r="G340" s="89">
        <f t="shared" ref="G340:W340" si="188">IF(VLOOKUP($E340,$D$5:$W$977,3,)=0,0,(VLOOKUP($E340,$D$5:$W$977,G$1,)/VLOOKUP($E340,$D$5:$W$977,3,))*$F340)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F341" s="90"/>
    </row>
    <row r="342" spans="1:26" ht="12" customHeight="1" x14ac:dyDescent="0.5">
      <c r="A342" s="23" t="s">
        <v>1630</v>
      </c>
      <c r="F342" s="90"/>
    </row>
    <row r="343" spans="1:26" ht="12" customHeight="1" x14ac:dyDescent="0.5">
      <c r="A343" s="96" t="s">
        <v>392</v>
      </c>
      <c r="C343" s="86" t="s">
        <v>815</v>
      </c>
      <c r="D343" s="86" t="s">
        <v>1684</v>
      </c>
      <c r="E343" s="86" t="s">
        <v>397</v>
      </c>
      <c r="F343" s="89">
        <f>VLOOKUP(C343,'WSS-26'!$C$1:$AU$617,34,)</f>
        <v>0</v>
      </c>
      <c r="G343" s="89">
        <f t="shared" ref="G343:W343" si="189">IF(VLOOKUP($E343,$D$5:$W$977,3,)=0,0,(VLOOKUP($E343,$D$5:$W$977,G$1,)/VLOOKUP($E343,$D$5:$W$977,3,))*$F343)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F344" s="90"/>
    </row>
    <row r="345" spans="1:26" ht="12" customHeight="1" x14ac:dyDescent="0.5">
      <c r="A345" s="86" t="s">
        <v>62</v>
      </c>
      <c r="D345" s="86" t="s">
        <v>1685</v>
      </c>
      <c r="F345" s="89">
        <f>F300+F306+F309+F312+F320+F325+F328+F331+F334+F337+F340+F343</f>
        <v>370531144.99999994</v>
      </c>
      <c r="G345" s="89">
        <f t="shared" ref="G345:U345" si="190">G300+G306+G309+G312+G320+G325+G328+G331+G334+G337+G340+G343</f>
        <v>163885507.33045521</v>
      </c>
      <c r="H345" s="89">
        <f t="shared" ref="H345" si="191">H300+H306+H309+H312+H320+H325+H328+H331+H334+H337+H340+H343</f>
        <v>233110.82257238447</v>
      </c>
      <c r="I345" s="89">
        <f t="shared" si="190"/>
        <v>42244784.497978106</v>
      </c>
      <c r="J345" s="89">
        <f>J300+J306+J309+J312+J320+J325+J328+J331+J334+J337+J340+J343</f>
        <v>2712858.1186784049</v>
      </c>
      <c r="K345" s="89">
        <f>K300+K306+K309+K312+K320+K325+K328+K331+K334+K337+K340+K343</f>
        <v>35444201.894145571</v>
      </c>
      <c r="L345" s="89">
        <f>L300+L306+L309+L312+L320+L325+L328+L331+L334+L337+L340+L343</f>
        <v>1534704.0192330964</v>
      </c>
      <c r="M345" s="89">
        <f t="shared" si="190"/>
        <v>33399476.380628955</v>
      </c>
      <c r="N345" s="89">
        <f t="shared" si="190"/>
        <v>59606091.616011411</v>
      </c>
      <c r="O345" s="89">
        <f t="shared" si="190"/>
        <v>18832387.238158166</v>
      </c>
      <c r="P345" s="89">
        <f>P300+P306+P309+P312+P320+P325+P328+P331+P334+P337+P340+P343</f>
        <v>8245202.8211647803</v>
      </c>
      <c r="Q345" s="89">
        <f>Q300+Q306+Q309+Q312+Q320+Q325+Q328+Q331+Q334+Q337+Q340+Q343</f>
        <v>4191349.326172214</v>
      </c>
      <c r="R345" s="89">
        <f t="shared" si="190"/>
        <v>15844.111319890933</v>
      </c>
      <c r="S345" s="89">
        <f t="shared" si="190"/>
        <v>39219.398935763937</v>
      </c>
      <c r="T345" s="89">
        <f t="shared" si="190"/>
        <v>8921.911041793699</v>
      </c>
      <c r="U345" s="89">
        <f t="shared" si="190"/>
        <v>16554.52070089243</v>
      </c>
      <c r="V345" s="89">
        <f>V300+V306+V309+V312+V320+V325+V328+V331+V334+V337+V340+V343</f>
        <v>106487.13</v>
      </c>
      <c r="W345" s="89">
        <f>W300+W306+W309+W312+W320+W325+W328+W331+W334+W337+W340+W343</f>
        <v>14443.86</v>
      </c>
      <c r="X345" s="91">
        <f>SUM(G345:W345)</f>
        <v>370531144.99719661</v>
      </c>
      <c r="Y345" s="87" t="str">
        <f>IF(ABS(F345-X345)&lt;0.01,"ok","err")</f>
        <v>ok</v>
      </c>
      <c r="Z345" s="203" t="str">
        <f>IF(Y345="err",X345-F345,"")</f>
        <v/>
      </c>
    </row>
    <row r="348" spans="1:26" ht="12" customHeight="1" x14ac:dyDescent="0.5">
      <c r="A348" s="22" t="s">
        <v>63</v>
      </c>
    </row>
    <row r="350" spans="1:26" ht="12" customHeight="1" x14ac:dyDescent="0.5">
      <c r="A350" s="23" t="s">
        <v>137</v>
      </c>
    </row>
    <row r="351" spans="1:26" ht="12" customHeight="1" x14ac:dyDescent="0.5">
      <c r="A351" s="96" t="s">
        <v>2274</v>
      </c>
      <c r="C351" s="86" t="s">
        <v>66</v>
      </c>
      <c r="D351" s="86" t="s">
        <v>69</v>
      </c>
      <c r="E351" s="86" t="s">
        <v>2273</v>
      </c>
      <c r="F351" s="89">
        <f>VLOOKUP(C351,'WSS-26'!$C$1:$AU$617,6,)</f>
        <v>0</v>
      </c>
      <c r="G351" s="89">
        <f t="shared" ref="G351:P356" si="192">IF(VLOOKUP($E351,$D$5:$W$977,3,)=0,0,(VLOOKUP($E351,$D$5:$W$977,G$1,)/VLOOKUP($E351,$D$5:$W$977,3,))*$F351)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IF(VLOOKUP($E351,$D$5:$W$977,3,)=0,0,(VLOOKUP($E351,$D$5:$W$977,Q$1,)/VLOOKUP($E351,$D$5:$W$977,3,))*$F351)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2275</v>
      </c>
      <c r="C352" s="86" t="s">
        <v>66</v>
      </c>
      <c r="D352" s="86" t="s">
        <v>70</v>
      </c>
      <c r="E352" s="86" t="s">
        <v>2273</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2275</v>
      </c>
      <c r="C353" s="86" t="s">
        <v>66</v>
      </c>
      <c r="D353" s="86" t="s">
        <v>71</v>
      </c>
      <c r="E353" s="86" t="s">
        <v>2273</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2277</v>
      </c>
      <c r="C354" s="86" t="s">
        <v>66</v>
      </c>
      <c r="D354" s="86" t="s">
        <v>72</v>
      </c>
      <c r="E354" s="86"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2276</v>
      </c>
      <c r="C355" s="86" t="s">
        <v>66</v>
      </c>
      <c r="D355" s="86" t="s">
        <v>73</v>
      </c>
      <c r="E355" s="86"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2276</v>
      </c>
      <c r="C356" s="86" t="s">
        <v>66</v>
      </c>
      <c r="D356" s="86" t="s">
        <v>74</v>
      </c>
      <c r="E356" s="86"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86" t="s">
        <v>75</v>
      </c>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F358" s="90"/>
      <c r="G358" s="90"/>
      <c r="H358" s="90"/>
    </row>
    <row r="359" spans="1:26" ht="12" customHeight="1" x14ac:dyDescent="0.5">
      <c r="A359" s="23" t="s">
        <v>441</v>
      </c>
      <c r="F359" s="90"/>
      <c r="G359" s="90"/>
      <c r="H359" s="90"/>
    </row>
    <row r="360" spans="1:26" ht="12" customHeight="1" x14ac:dyDescent="0.5">
      <c r="A360" s="96" t="s">
        <v>2248</v>
      </c>
      <c r="C360" s="86" t="s">
        <v>66</v>
      </c>
      <c r="D360" s="86" t="s">
        <v>76</v>
      </c>
      <c r="E360" s="86" t="s">
        <v>2249</v>
      </c>
      <c r="F360" s="89">
        <f>VLOOKUP(C360,'WSS-26'!$C$1:$AU$617,13,)</f>
        <v>0</v>
      </c>
      <c r="G360" s="89">
        <f t="shared" ref="G360:P362" si="199">IF(VLOOKUP($E360,$D$5:$W$977,3,)=0,0,(VLOOKUP($E360,$D$5:$W$977,G$1,)/VLOOKUP($E360,$D$5:$W$977,3,))*$F360)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IF(VLOOKUP($E360,$D$5:$W$977,3,)=0,0,(VLOOKUP($E360,$D$5:$W$977,Q$1,)/VLOOKUP($E360,$D$5:$W$977,3,))*$F360)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2247</v>
      </c>
      <c r="C361" s="86" t="s">
        <v>66</v>
      </c>
      <c r="D361" s="86" t="s">
        <v>77</v>
      </c>
      <c r="E361" s="86" t="s">
        <v>2249</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2247</v>
      </c>
      <c r="C362" s="86" t="s">
        <v>66</v>
      </c>
      <c r="D362" s="86" t="s">
        <v>78</v>
      </c>
      <c r="E362" s="86" t="s">
        <v>2249</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86" t="s">
        <v>79</v>
      </c>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F364" s="90"/>
      <c r="G364" s="90"/>
      <c r="H364" s="90"/>
    </row>
    <row r="365" spans="1:26" ht="12" customHeight="1" x14ac:dyDescent="0.5">
      <c r="A365" s="23" t="s">
        <v>1628</v>
      </c>
      <c r="F365" s="90"/>
      <c r="G365" s="90"/>
      <c r="H365" s="90"/>
    </row>
    <row r="366" spans="1:26" ht="12" customHeight="1" x14ac:dyDescent="0.5">
      <c r="A366" s="96" t="s">
        <v>145</v>
      </c>
      <c r="C366" s="86" t="s">
        <v>66</v>
      </c>
      <c r="D366" s="86" t="s">
        <v>80</v>
      </c>
      <c r="E366" s="86" t="s">
        <v>2253</v>
      </c>
      <c r="F366" s="89">
        <f>VLOOKUP(C366,'WSS-26'!$C$1:$AU$617,17,)</f>
        <v>0</v>
      </c>
      <c r="G366" s="89">
        <f t="shared" ref="G366:W366" si="203">IF(VLOOKUP($E366,$D$5:$W$977,3,)=0,0,(VLOOKUP($E366,$D$5:$W$977,G$1,)/VLOOKUP($E366,$D$5:$W$977,3,))*$F366)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F367" s="90"/>
    </row>
    <row r="368" spans="1:26" ht="12" customHeight="1" x14ac:dyDescent="0.5">
      <c r="A368" s="23" t="s">
        <v>1629</v>
      </c>
      <c r="F368" s="90"/>
      <c r="G368" s="90"/>
      <c r="H368" s="90"/>
    </row>
    <row r="369" spans="1:26" ht="12" customHeight="1" x14ac:dyDescent="0.5">
      <c r="A369" s="96" t="s">
        <v>147</v>
      </c>
      <c r="C369" s="86" t="s">
        <v>66</v>
      </c>
      <c r="D369" s="86" t="s">
        <v>81</v>
      </c>
      <c r="E369" s="86" t="s">
        <v>2253</v>
      </c>
      <c r="F369" s="89">
        <f>VLOOKUP(C369,'WSS-26'!$C$1:$AU$617,18,)</f>
        <v>0</v>
      </c>
      <c r="G369" s="89">
        <f t="shared" ref="G369:W369" si="204">IF(VLOOKUP($E369,$D$5:$W$977,3,)=0,0,(VLOOKUP($E369,$D$5:$W$977,G$1,)/VLOOKUP($E369,$D$5:$W$977,3,))*$F369)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F370" s="90"/>
    </row>
    <row r="371" spans="1:26" ht="12" customHeight="1" x14ac:dyDescent="0.5">
      <c r="A371" s="23" t="s">
        <v>146</v>
      </c>
      <c r="F371" s="90"/>
    </row>
    <row r="372" spans="1:26" ht="12" customHeight="1" x14ac:dyDescent="0.5">
      <c r="A372" s="96" t="s">
        <v>792</v>
      </c>
      <c r="C372" s="86" t="s">
        <v>66</v>
      </c>
      <c r="D372" s="86" t="s">
        <v>82</v>
      </c>
      <c r="E372" s="86" t="s">
        <v>2253</v>
      </c>
      <c r="F372" s="89">
        <f>VLOOKUP(C372,'WSS-26'!$C$1:$AU$617,19,)</f>
        <v>0</v>
      </c>
      <c r="G372" s="89">
        <f t="shared" ref="G372:P376" si="205">IF(VLOOKUP($E372,$D$5:$W$977,3,)=0,0,(VLOOKUP($E372,$D$5:$W$977,G$1,)/VLOOKUP($E372,$D$5:$W$977,3,))*$F372)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IF(VLOOKUP($E372,$D$5:$W$977,3,)=0,0,(VLOOKUP($E372,$D$5:$W$977,Q$1,)/VLOOKUP($E372,$D$5:$W$977,3,))*$F372)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793</v>
      </c>
      <c r="C373" s="86" t="s">
        <v>66</v>
      </c>
      <c r="D373" s="86" t="s">
        <v>83</v>
      </c>
      <c r="E373" s="86" t="s">
        <v>2253</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794</v>
      </c>
      <c r="C374" s="86" t="s">
        <v>66</v>
      </c>
      <c r="D374" s="86" t="s">
        <v>84</v>
      </c>
      <c r="E374" s="86" t="s">
        <v>905</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795</v>
      </c>
      <c r="C375" s="86" t="s">
        <v>66</v>
      </c>
      <c r="D375" s="86" t="s">
        <v>85</v>
      </c>
      <c r="E375" s="86" t="s">
        <v>734</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796</v>
      </c>
      <c r="C376" s="86" t="s">
        <v>66</v>
      </c>
      <c r="D376" s="86" t="s">
        <v>86</v>
      </c>
      <c r="E376" s="86" t="s">
        <v>904</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86" t="s">
        <v>87</v>
      </c>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F378" s="90"/>
    </row>
    <row r="379" spans="1:26" ht="12" customHeight="1" x14ac:dyDescent="0.5">
      <c r="A379" s="23" t="s">
        <v>791</v>
      </c>
      <c r="F379" s="90"/>
    </row>
    <row r="380" spans="1:26" ht="12" customHeight="1" x14ac:dyDescent="0.5">
      <c r="A380" s="96" t="s">
        <v>389</v>
      </c>
      <c r="C380" s="86" t="s">
        <v>66</v>
      </c>
      <c r="D380" s="86" t="s">
        <v>88</v>
      </c>
      <c r="E380" s="86" t="s">
        <v>2178</v>
      </c>
      <c r="F380" s="89">
        <f>VLOOKUP(C380,'WSS-26'!$C$1:$AU$617,24,)</f>
        <v>0</v>
      </c>
      <c r="G380" s="89">
        <f t="shared" ref="G380:P381" si="212">IF(VLOOKUP($E380,$D$5:$W$977,3,)=0,0,(VLOOKUP($E380,$D$5:$W$977,G$1,)/VLOOKUP($E380,$D$5:$W$977,3,))*$F380)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IF(VLOOKUP($E380,$D$5:$W$977,3,)=0,0,(VLOOKUP($E380,$D$5:$W$977,Q$1,)/VLOOKUP($E380,$D$5:$W$977,3,))*$F380)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86" t="s">
        <v>89</v>
      </c>
      <c r="E381" s="86" t="s">
        <v>2177</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1469</v>
      </c>
      <c r="D382" s="86" t="s">
        <v>90</v>
      </c>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F383" s="90"/>
    </row>
    <row r="384" spans="1:26" ht="12" customHeight="1" x14ac:dyDescent="0.5">
      <c r="A384" s="23" t="s">
        <v>128</v>
      </c>
      <c r="F384" s="90"/>
    </row>
    <row r="385" spans="1:26" ht="12" customHeight="1" x14ac:dyDescent="0.5">
      <c r="A385" s="96" t="s">
        <v>392</v>
      </c>
      <c r="C385" s="86" t="s">
        <v>66</v>
      </c>
      <c r="D385" s="86" t="s">
        <v>91</v>
      </c>
      <c r="E385" s="86" t="s">
        <v>393</v>
      </c>
      <c r="F385" s="89">
        <f>VLOOKUP(C385,'WSS-26'!$C$1:$AU$617,26,)</f>
        <v>0</v>
      </c>
      <c r="G385" s="89">
        <f t="shared" ref="G385:W385" si="216">IF(VLOOKUP($E385,$D$5:$W$977,3,)=0,0,(VLOOKUP($E385,$D$5:$W$977,G$1,)/VLOOKUP($E385,$D$5:$W$977,3,))*$F385)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F386" s="90"/>
    </row>
    <row r="387" spans="1:26" ht="12" customHeight="1" x14ac:dyDescent="0.5">
      <c r="A387" s="23" t="s">
        <v>127</v>
      </c>
      <c r="F387" s="90"/>
    </row>
    <row r="388" spans="1:26" ht="12" customHeight="1" x14ac:dyDescent="0.5">
      <c r="A388" s="96" t="s">
        <v>392</v>
      </c>
      <c r="C388" s="86" t="s">
        <v>66</v>
      </c>
      <c r="D388" s="86" t="s">
        <v>92</v>
      </c>
      <c r="E388" s="86" t="s">
        <v>394</v>
      </c>
      <c r="F388" s="89">
        <f>VLOOKUP(C388,'WSS-26'!$C$1:$AU$617,27,)</f>
        <v>0</v>
      </c>
      <c r="G388" s="89">
        <f t="shared" ref="G388:W388" si="217">IF(VLOOKUP($E388,$D$5:$W$977,3,)=0,0,(VLOOKUP($E388,$D$5:$W$977,G$1,)/VLOOKUP($E388,$D$5:$W$977,3,))*$F388)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F389" s="90"/>
    </row>
    <row r="390" spans="1:26" ht="12" customHeight="1" x14ac:dyDescent="0.5">
      <c r="A390" s="23" t="s">
        <v>144</v>
      </c>
      <c r="F390" s="90"/>
    </row>
    <row r="391" spans="1:26" ht="12" customHeight="1" x14ac:dyDescent="0.5">
      <c r="A391" s="96" t="s">
        <v>392</v>
      </c>
      <c r="C391" s="86" t="s">
        <v>66</v>
      </c>
      <c r="D391" s="86" t="s">
        <v>93</v>
      </c>
      <c r="E391" s="86" t="s">
        <v>395</v>
      </c>
      <c r="F391" s="89">
        <f>VLOOKUP(C391,'WSS-26'!$C$1:$AU$617,28,)</f>
        <v>0</v>
      </c>
      <c r="G391" s="89">
        <f t="shared" ref="G391:W391" si="218">IF(VLOOKUP($E391,$D$5:$W$977,3,)=0,0,(VLOOKUP($E391,$D$5:$W$977,G$1,)/VLOOKUP($E391,$D$5:$W$977,3,))*$F391)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F392" s="90"/>
    </row>
    <row r="393" spans="1:26" ht="12" customHeight="1" x14ac:dyDescent="0.5">
      <c r="A393" s="23" t="s">
        <v>292</v>
      </c>
      <c r="F393" s="90"/>
    </row>
    <row r="394" spans="1:26" ht="12" customHeight="1" x14ac:dyDescent="0.5">
      <c r="A394" s="96" t="s">
        <v>392</v>
      </c>
      <c r="C394" s="86" t="s">
        <v>66</v>
      </c>
      <c r="D394" s="86" t="s">
        <v>94</v>
      </c>
      <c r="E394" s="86" t="s">
        <v>396</v>
      </c>
      <c r="F394" s="89">
        <f>VLOOKUP(C394,'WSS-26'!$C$1:$AU$617,30,)</f>
        <v>0</v>
      </c>
      <c r="G394" s="89">
        <f t="shared" ref="G394:W394" si="219">IF(VLOOKUP($E394,$D$5:$W$977,3,)=0,0,(VLOOKUP($E394,$D$5:$W$977,G$1,)/VLOOKUP($E394,$D$5:$W$977,3,))*$F394)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F395" s="90"/>
    </row>
    <row r="396" spans="1:26" ht="12" customHeight="1" x14ac:dyDescent="0.5">
      <c r="A396" s="23" t="s">
        <v>1631</v>
      </c>
      <c r="F396" s="90"/>
    </row>
    <row r="397" spans="1:26" ht="12" customHeight="1" x14ac:dyDescent="0.5">
      <c r="A397" s="96" t="s">
        <v>392</v>
      </c>
      <c r="C397" s="86" t="s">
        <v>66</v>
      </c>
      <c r="D397" s="86" t="s">
        <v>95</v>
      </c>
      <c r="E397" s="86" t="s">
        <v>396</v>
      </c>
      <c r="F397" s="89">
        <f>VLOOKUP(C397,'WSS-26'!$C$1:$AU$617,32,)</f>
        <v>0</v>
      </c>
      <c r="G397" s="89">
        <f t="shared" ref="G397:W397" si="220">IF(VLOOKUP($E397,$D$5:$W$977,3,)=0,0,(VLOOKUP($E397,$D$5:$W$977,G$1,)/VLOOKUP($E397,$D$5:$W$977,3,))*$F397)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F398" s="90"/>
    </row>
    <row r="399" spans="1:26" ht="12" customHeight="1" x14ac:dyDescent="0.5">
      <c r="A399" s="23" t="s">
        <v>1630</v>
      </c>
      <c r="F399" s="90"/>
    </row>
    <row r="400" spans="1:26" ht="12" customHeight="1" x14ac:dyDescent="0.5">
      <c r="A400" s="96" t="s">
        <v>392</v>
      </c>
      <c r="C400" s="86" t="s">
        <v>66</v>
      </c>
      <c r="D400" s="86" t="s">
        <v>1684</v>
      </c>
      <c r="E400" s="86" t="s">
        <v>397</v>
      </c>
      <c r="F400" s="89">
        <f>VLOOKUP(C400,'WSS-26'!$C$1:$AU$617,34,)</f>
        <v>0</v>
      </c>
      <c r="G400" s="89">
        <f t="shared" ref="G400:W400" si="221">IF(VLOOKUP($E400,$D$5:$W$977,3,)=0,0,(VLOOKUP($E400,$D$5:$W$977,G$1,)/VLOOKUP($E400,$D$5:$W$977,3,))*$F400)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F401" s="90"/>
    </row>
    <row r="402" spans="1:26" ht="12" customHeight="1" x14ac:dyDescent="0.5">
      <c r="A402" s="86" t="s">
        <v>62</v>
      </c>
      <c r="D402" s="86" t="s">
        <v>96</v>
      </c>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5" spans="1:26" ht="12" customHeight="1" x14ac:dyDescent="0.5">
      <c r="A405" s="22" t="s">
        <v>373</v>
      </c>
    </row>
    <row r="407" spans="1:26" ht="12" customHeight="1" x14ac:dyDescent="0.5">
      <c r="A407" s="23" t="s">
        <v>137</v>
      </c>
    </row>
    <row r="408" spans="1:26" ht="12" customHeight="1" x14ac:dyDescent="0.5">
      <c r="A408" s="96" t="s">
        <v>2274</v>
      </c>
      <c r="C408" s="86" t="s">
        <v>374</v>
      </c>
      <c r="D408" s="86" t="s">
        <v>1687</v>
      </c>
      <c r="E408" s="86" t="s">
        <v>2410</v>
      </c>
      <c r="F408" s="89">
        <f>VLOOKUP(C408,'WSS-26'!$C$1:$AU$617,6,)</f>
        <v>22386637.187066048</v>
      </c>
      <c r="G408" s="89">
        <f t="shared" ref="G408:P413" si="224">IF(VLOOKUP($E408,$D$5:$W$977,3,)=0,0,(VLOOKUP($E408,$D$5:$W$977,G$1,)/VLOOKUP($E408,$D$5:$W$977,3,))*$F408)</f>
        <v>9176049.1004207749</v>
      </c>
      <c r="H408" s="89">
        <f t="shared" si="224"/>
        <v>9371.1270216470275</v>
      </c>
      <c r="I408" s="89">
        <f t="shared" si="224"/>
        <v>2474031.6258515259</v>
      </c>
      <c r="J408" s="89">
        <f t="shared" si="224"/>
        <v>158751.85131889884</v>
      </c>
      <c r="K408" s="89">
        <f t="shared" si="224"/>
        <v>2307133.5224887216</v>
      </c>
      <c r="L408" s="89">
        <f t="shared" si="224"/>
        <v>100233.83492140447</v>
      </c>
      <c r="M408" s="89">
        <f t="shared" si="224"/>
        <v>2218831.4251543311</v>
      </c>
      <c r="N408" s="89">
        <f t="shared" si="224"/>
        <v>4061816.4894269765</v>
      </c>
      <c r="O408" s="89">
        <f t="shared" si="224"/>
        <v>1322182.4138066652</v>
      </c>
      <c r="P408" s="89">
        <f t="shared" si="224"/>
        <v>547513.91837642249</v>
      </c>
      <c r="Q408" s="89">
        <f t="shared" ref="Q408:W413" si="225">IF(VLOOKUP($E408,$D$5:$W$977,3,)=0,0,(VLOOKUP($E408,$D$5:$W$977,Q$1,)/VLOOKUP($E408,$D$5:$W$977,3,))*$F408)</f>
        <v>3568.7273926218322</v>
      </c>
      <c r="R408" s="89">
        <f t="shared" si="225"/>
        <v>129.84128753727956</v>
      </c>
      <c r="S408" s="89">
        <f t="shared" si="225"/>
        <v>2123.2011672109388</v>
      </c>
      <c r="T408" s="89">
        <f t="shared" si="225"/>
        <v>273.29233550805475</v>
      </c>
      <c r="U408" s="89">
        <f t="shared" si="225"/>
        <v>18.480429618575101</v>
      </c>
      <c r="V408" s="89">
        <f t="shared" si="225"/>
        <v>4038.9486899610001</v>
      </c>
      <c r="W408" s="89">
        <f t="shared" si="225"/>
        <v>569.38697621906249</v>
      </c>
      <c r="X408" s="91">
        <f t="shared" ref="X408:X413" si="226">SUM(G408:W408)</f>
        <v>22386637.187066048</v>
      </c>
      <c r="Y408" s="87" t="str">
        <f t="shared" ref="Y408:Y413" si="227">IF(ABS(F408-X408)&lt;0.01,"ok","err")</f>
        <v>ok</v>
      </c>
      <c r="Z408" s="203" t="str">
        <f t="shared" ref="Z408:Z413" si="228">IF(Y408="err",X408-F408,"")</f>
        <v/>
      </c>
    </row>
    <row r="409" spans="1:26" ht="12" hidden="1" customHeight="1" x14ac:dyDescent="0.5">
      <c r="A409" s="96" t="s">
        <v>2275</v>
      </c>
      <c r="C409" s="86" t="s">
        <v>374</v>
      </c>
      <c r="D409" s="86" t="s">
        <v>1688</v>
      </c>
      <c r="E409" s="86" t="s">
        <v>2273</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2275</v>
      </c>
      <c r="C410" s="86" t="s">
        <v>374</v>
      </c>
      <c r="D410" s="86" t="s">
        <v>1689</v>
      </c>
      <c r="E410" s="86" t="s">
        <v>2273</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2277</v>
      </c>
      <c r="C411" s="86" t="s">
        <v>374</v>
      </c>
      <c r="D411" s="86" t="s">
        <v>1690</v>
      </c>
      <c r="E411" s="86"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2276</v>
      </c>
      <c r="C412" s="86" t="s">
        <v>374</v>
      </c>
      <c r="D412" s="86" t="s">
        <v>1691</v>
      </c>
      <c r="E412" s="86"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2276</v>
      </c>
      <c r="C413" s="86" t="s">
        <v>374</v>
      </c>
      <c r="D413" s="86" t="s">
        <v>1692</v>
      </c>
      <c r="E413" s="86"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86" t="s">
        <v>1693</v>
      </c>
      <c r="F414" s="89">
        <f t="shared" ref="F414:U414" si="229">SUM(F408:F413)</f>
        <v>22386637.187066048</v>
      </c>
      <c r="G414" s="89">
        <f t="shared" si="229"/>
        <v>9176049.1004207749</v>
      </c>
      <c r="H414" s="89">
        <f t="shared" ref="H414" si="230">SUM(H408:H413)</f>
        <v>9371.1270216470275</v>
      </c>
      <c r="I414" s="89">
        <f t="shared" si="229"/>
        <v>2474031.6258515259</v>
      </c>
      <c r="J414" s="89">
        <f>SUM(J408:J413)</f>
        <v>158751.85131889884</v>
      </c>
      <c r="K414" s="89">
        <f>SUM(K408:K413)</f>
        <v>2307133.5224887216</v>
      </c>
      <c r="L414" s="89">
        <f>SUM(L408:L413)</f>
        <v>100233.83492140447</v>
      </c>
      <c r="M414" s="89">
        <f t="shared" si="229"/>
        <v>2218831.4251543311</v>
      </c>
      <c r="N414" s="89">
        <f t="shared" si="229"/>
        <v>4061816.4894269765</v>
      </c>
      <c r="O414" s="89">
        <f t="shared" si="229"/>
        <v>1322182.4138066652</v>
      </c>
      <c r="P414" s="89">
        <f t="shared" si="229"/>
        <v>547513.91837642249</v>
      </c>
      <c r="Q414" s="89">
        <f>SUM(Q408:Q413)</f>
        <v>3568.7273926218322</v>
      </c>
      <c r="R414" s="89">
        <f t="shared" si="229"/>
        <v>129.84128753727956</v>
      </c>
      <c r="S414" s="89">
        <f t="shared" si="229"/>
        <v>2123.2011672109388</v>
      </c>
      <c r="T414" s="89">
        <f t="shared" si="229"/>
        <v>273.29233550805475</v>
      </c>
      <c r="U414" s="89">
        <f t="shared" si="229"/>
        <v>18.480429618575101</v>
      </c>
      <c r="V414" s="89">
        <f>SUM(V408:V413)</f>
        <v>4038.9486899610001</v>
      </c>
      <c r="W414" s="89">
        <f>SUM(W408:W413)</f>
        <v>569.38697621906249</v>
      </c>
      <c r="X414" s="91">
        <f>SUM(G414:W414)</f>
        <v>22386637.187066048</v>
      </c>
      <c r="Y414" s="87" t="str">
        <f>IF(ABS(F414-X414)&lt;0.01,"ok","err")</f>
        <v>ok</v>
      </c>
      <c r="Z414" s="91" t="str">
        <f>IF(Y414="err",X414-F414,"")</f>
        <v/>
      </c>
    </row>
    <row r="415" spans="1:26" ht="12" customHeight="1" x14ac:dyDescent="0.5">
      <c r="F415" s="90"/>
      <c r="G415" s="90"/>
      <c r="H415" s="90"/>
    </row>
    <row r="416" spans="1:26" ht="12" customHeight="1" x14ac:dyDescent="0.5">
      <c r="A416" s="23" t="s">
        <v>441</v>
      </c>
      <c r="F416" s="90"/>
      <c r="G416" s="90"/>
      <c r="H416" s="90"/>
    </row>
    <row r="417" spans="1:26" ht="12" customHeight="1" x14ac:dyDescent="0.5">
      <c r="A417" s="96" t="s">
        <v>2248</v>
      </c>
      <c r="C417" s="86" t="s">
        <v>374</v>
      </c>
      <c r="D417" s="86" t="s">
        <v>1694</v>
      </c>
      <c r="E417" s="86" t="s">
        <v>2249</v>
      </c>
      <c r="F417" s="89">
        <f>VLOOKUP(C417,'WSS-26'!$C$1:$AU$617,13,)</f>
        <v>5118215.0658043763</v>
      </c>
      <c r="G417" s="89">
        <f t="shared" ref="G417:P419" si="231">IF(VLOOKUP($E417,$D$5:$W$977,3,)=0,0,(VLOOKUP($E417,$D$5:$W$977,G$1,)/VLOOKUP($E417,$D$5:$W$977,3,))*$F417)</f>
        <v>2256818.3528316999</v>
      </c>
      <c r="H417" s="89">
        <f t="shared" si="231"/>
        <v>7250.587364126035</v>
      </c>
      <c r="I417" s="89">
        <f t="shared" si="231"/>
        <v>580649.82761914388</v>
      </c>
      <c r="J417" s="89">
        <f t="shared" si="231"/>
        <v>59426.195337769219</v>
      </c>
      <c r="K417" s="89">
        <f t="shared" si="231"/>
        <v>517990.373793423</v>
      </c>
      <c r="L417" s="89">
        <f t="shared" si="231"/>
        <v>22258.469154322298</v>
      </c>
      <c r="M417" s="89">
        <f t="shared" si="231"/>
        <v>458247.88162741362</v>
      </c>
      <c r="N417" s="89">
        <f t="shared" si="231"/>
        <v>746318.472773741</v>
      </c>
      <c r="O417" s="89">
        <f t="shared" si="231"/>
        <v>258807.11229741923</v>
      </c>
      <c r="P417" s="89">
        <f t="shared" si="231"/>
        <v>173420.61661486357</v>
      </c>
      <c r="Q417" s="89">
        <f t="shared" ref="Q417:W419" si="232">IF(VLOOKUP($E417,$D$5:$W$977,3,)=0,0,(VLOOKUP($E417,$D$5:$W$977,Q$1,)/VLOOKUP($E417,$D$5:$W$977,3,))*$F417)</f>
        <v>34928.820344766638</v>
      </c>
      <c r="R417" s="89">
        <f t="shared" si="232"/>
        <v>1270.817999463661</v>
      </c>
      <c r="S417" s="89">
        <f t="shared" si="232"/>
        <v>342.38940858756479</v>
      </c>
      <c r="T417" s="89">
        <f t="shared" si="232"/>
        <v>482.14009838751031</v>
      </c>
      <c r="U417" s="89">
        <f t="shared" si="232"/>
        <v>3.0085392497251853</v>
      </c>
      <c r="V417" s="89">
        <f t="shared" si="232"/>
        <v>0</v>
      </c>
      <c r="W417" s="89">
        <f t="shared" si="232"/>
        <v>0</v>
      </c>
      <c r="X417" s="91">
        <f>SUM(G417:W417)</f>
        <v>5118215.0658043763</v>
      </c>
      <c r="Y417" s="87" t="str">
        <f>IF(ABS(F417-X417)&lt;0.01,"ok","err")</f>
        <v>ok</v>
      </c>
      <c r="Z417" s="203" t="str">
        <f>IF(Y417="err",X417-F417,"")</f>
        <v/>
      </c>
    </row>
    <row r="418" spans="1:26" ht="12" hidden="1" customHeight="1" x14ac:dyDescent="0.5">
      <c r="A418" s="96" t="s">
        <v>2247</v>
      </c>
      <c r="C418" s="86" t="s">
        <v>374</v>
      </c>
      <c r="D418" s="86" t="s">
        <v>1695</v>
      </c>
      <c r="E418" s="86" t="s">
        <v>2249</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2247</v>
      </c>
      <c r="C419" s="86" t="s">
        <v>374</v>
      </c>
      <c r="D419" s="86" t="s">
        <v>1696</v>
      </c>
      <c r="E419" s="86" t="s">
        <v>2249</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86" t="s">
        <v>1697</v>
      </c>
      <c r="F420" s="89">
        <f t="shared" ref="F420:U420" si="233">SUM(F417:F419)</f>
        <v>5118215.0658043763</v>
      </c>
      <c r="G420" s="89">
        <f t="shared" si="233"/>
        <v>2256818.3528316999</v>
      </c>
      <c r="H420" s="89">
        <f t="shared" ref="H420" si="234">SUM(H417:H419)</f>
        <v>7250.587364126035</v>
      </c>
      <c r="I420" s="89">
        <f t="shared" si="233"/>
        <v>580649.82761914388</v>
      </c>
      <c r="J420" s="89">
        <f>SUM(J417:J419)</f>
        <v>59426.195337769219</v>
      </c>
      <c r="K420" s="89">
        <f>SUM(K417:K419)</f>
        <v>517990.373793423</v>
      </c>
      <c r="L420" s="89">
        <f>SUM(L417:L419)</f>
        <v>22258.469154322298</v>
      </c>
      <c r="M420" s="89">
        <f t="shared" si="233"/>
        <v>458247.88162741362</v>
      </c>
      <c r="N420" s="89">
        <f t="shared" si="233"/>
        <v>746318.472773741</v>
      </c>
      <c r="O420" s="89">
        <f t="shared" si="233"/>
        <v>258807.11229741923</v>
      </c>
      <c r="P420" s="89">
        <f t="shared" si="233"/>
        <v>173420.61661486357</v>
      </c>
      <c r="Q420" s="89">
        <f>SUM(Q417:Q419)</f>
        <v>34928.820344766638</v>
      </c>
      <c r="R420" s="89">
        <f t="shared" si="233"/>
        <v>1270.817999463661</v>
      </c>
      <c r="S420" s="89">
        <f t="shared" si="233"/>
        <v>342.38940858756479</v>
      </c>
      <c r="T420" s="89">
        <f t="shared" si="233"/>
        <v>482.14009838751031</v>
      </c>
      <c r="U420" s="89">
        <f t="shared" si="233"/>
        <v>3.0085392497251853</v>
      </c>
      <c r="V420" s="89">
        <f>SUM(V417:V419)</f>
        <v>0</v>
      </c>
      <c r="W420" s="89">
        <f>SUM(W417:W419)</f>
        <v>0</v>
      </c>
      <c r="X420" s="91">
        <f>SUM(G420:W420)</f>
        <v>5118215.0658043763</v>
      </c>
      <c r="Y420" s="87" t="str">
        <f>IF(ABS(F420-X420)&lt;0.01,"ok","err")</f>
        <v>ok</v>
      </c>
      <c r="Z420" s="91" t="str">
        <f>IF(Y420="err",X420-F420,"")</f>
        <v/>
      </c>
    </row>
    <row r="421" spans="1:26" ht="12" customHeight="1" x14ac:dyDescent="0.5">
      <c r="F421" s="90"/>
      <c r="G421" s="90"/>
      <c r="H421" s="90"/>
    </row>
    <row r="422" spans="1:26" ht="12" customHeight="1" x14ac:dyDescent="0.5">
      <c r="A422" s="23" t="s">
        <v>1628</v>
      </c>
      <c r="F422" s="90"/>
      <c r="G422" s="90"/>
      <c r="H422" s="90"/>
    </row>
    <row r="423" spans="1:26" ht="12" customHeight="1" x14ac:dyDescent="0.5">
      <c r="A423" s="96" t="s">
        <v>145</v>
      </c>
      <c r="C423" s="86" t="s">
        <v>374</v>
      </c>
      <c r="D423" s="86" t="s">
        <v>1698</v>
      </c>
      <c r="E423" s="86" t="s">
        <v>2253</v>
      </c>
      <c r="F423" s="89">
        <f>VLOOKUP(C423,'WSS-26'!$C$1:$AU$617,17,)</f>
        <v>0</v>
      </c>
      <c r="G423" s="89">
        <f t="shared" ref="G423:W423" si="235">IF(VLOOKUP($E423,$D$5:$W$977,3,)=0,0,(VLOOKUP($E423,$D$5:$W$977,G$1,)/VLOOKUP($E423,$D$5:$W$977,3,))*$F423)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F424" s="90"/>
    </row>
    <row r="425" spans="1:26" ht="12" customHeight="1" x14ac:dyDescent="0.5">
      <c r="A425" s="23" t="s">
        <v>1629</v>
      </c>
      <c r="F425" s="90"/>
      <c r="G425" s="90"/>
      <c r="H425" s="90"/>
    </row>
    <row r="426" spans="1:26" ht="12" customHeight="1" x14ac:dyDescent="0.5">
      <c r="A426" s="96" t="s">
        <v>147</v>
      </c>
      <c r="C426" s="86" t="s">
        <v>374</v>
      </c>
      <c r="D426" s="86" t="s">
        <v>1699</v>
      </c>
      <c r="E426" s="86" t="s">
        <v>2253</v>
      </c>
      <c r="F426" s="89">
        <f>VLOOKUP(C426,'WSS-26'!$C$1:$AU$617,18,)</f>
        <v>1318249.3758783769</v>
      </c>
      <c r="G426" s="89">
        <f t="shared" ref="G426:W426" si="236">IF(VLOOKUP($E426,$D$5:$W$977,3,)=0,0,(VLOOKUP($E426,$D$5:$W$977,G$1,)/VLOOKUP($E426,$D$5:$W$977,3,))*$F426)</f>
        <v>634882.07952870999</v>
      </c>
      <c r="H426" s="89">
        <f t="shared" si="236"/>
        <v>2039.715769665318</v>
      </c>
      <c r="I426" s="89">
        <f t="shared" si="236"/>
        <v>163346.85047836474</v>
      </c>
      <c r="J426" s="89">
        <f t="shared" si="236"/>
        <v>16717.617714860826</v>
      </c>
      <c r="K426" s="89">
        <f t="shared" si="236"/>
        <v>145719.66116687586</v>
      </c>
      <c r="L426" s="89">
        <f t="shared" si="236"/>
        <v>6261.6927791687594</v>
      </c>
      <c r="M426" s="89">
        <f t="shared" si="236"/>
        <v>128913.06367754206</v>
      </c>
      <c r="N426" s="89">
        <f t="shared" si="236"/>
        <v>209952.30891788952</v>
      </c>
      <c r="O426" s="89">
        <f t="shared" si="236"/>
        <v>0</v>
      </c>
      <c r="P426" s="89">
        <f t="shared" si="236"/>
        <v>0</v>
      </c>
      <c r="Q426" s="89">
        <f t="shared" si="236"/>
        <v>9826.0819565498659</v>
      </c>
      <c r="R426" s="89">
        <f t="shared" si="236"/>
        <v>357.50310750072668</v>
      </c>
      <c r="S426" s="89">
        <f t="shared" si="236"/>
        <v>96.320069118513132</v>
      </c>
      <c r="T426" s="89">
        <f t="shared" si="236"/>
        <v>135.63435794660373</v>
      </c>
      <c r="U426" s="89">
        <f t="shared" si="236"/>
        <v>0.84635418389461858</v>
      </c>
      <c r="V426" s="89">
        <f t="shared" si="236"/>
        <v>0</v>
      </c>
      <c r="W426" s="89">
        <f t="shared" si="236"/>
        <v>0</v>
      </c>
      <c r="X426" s="91">
        <f>SUM(G426:W426)</f>
        <v>1318249.3758783767</v>
      </c>
      <c r="Y426" s="87" t="str">
        <f>IF(ABS(F426-X426)&lt;0.01,"ok","err")</f>
        <v>ok</v>
      </c>
      <c r="Z426" s="203" t="str">
        <f>IF(Y426="err",X426-F426,"")</f>
        <v/>
      </c>
    </row>
    <row r="427" spans="1:26" ht="12" customHeight="1" x14ac:dyDescent="0.5">
      <c r="F427" s="90"/>
    </row>
    <row r="428" spans="1:26" ht="12" customHeight="1" x14ac:dyDescent="0.5">
      <c r="A428" s="23" t="s">
        <v>146</v>
      </c>
      <c r="F428" s="90"/>
    </row>
    <row r="429" spans="1:26" ht="12" customHeight="1" x14ac:dyDescent="0.5">
      <c r="A429" s="96" t="s">
        <v>792</v>
      </c>
      <c r="C429" s="86" t="s">
        <v>374</v>
      </c>
      <c r="D429" s="86" t="s">
        <v>1700</v>
      </c>
      <c r="E429" s="86" t="s">
        <v>2253</v>
      </c>
      <c r="F429" s="89">
        <f>VLOOKUP(C429,'WSS-26'!$C$1:$AU$617,19,)</f>
        <v>0</v>
      </c>
      <c r="G429" s="89">
        <f t="shared" ref="G429:P433" si="237">IF(VLOOKUP($E429,$D$5:$W$977,3,)=0,0,(VLOOKUP($E429,$D$5:$W$977,G$1,)/VLOOKUP($E429,$D$5:$W$977,3,))*$F429)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IF(VLOOKUP($E429,$D$5:$W$977,3,)=0,0,(VLOOKUP($E429,$D$5:$W$977,Q$1,)/VLOOKUP($E429,$D$5:$W$977,3,))*$F429)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793</v>
      </c>
      <c r="C430" s="86" t="s">
        <v>374</v>
      </c>
      <c r="D430" s="86" t="s">
        <v>1701</v>
      </c>
      <c r="E430" s="86" t="s">
        <v>2253</v>
      </c>
      <c r="F430" s="90">
        <f>VLOOKUP(C430,'WSS-26'!$C$1:$AU$617,20,)</f>
        <v>1048474.0265655699</v>
      </c>
      <c r="G430" s="89">
        <f t="shared" si="237"/>
        <v>504955.57403488061</v>
      </c>
      <c r="H430" s="89">
        <f t="shared" si="237"/>
        <v>1622.2947229884333</v>
      </c>
      <c r="I430" s="89">
        <f t="shared" si="237"/>
        <v>129918.46093895382</v>
      </c>
      <c r="J430" s="89">
        <f t="shared" si="237"/>
        <v>13296.412864527068</v>
      </c>
      <c r="K430" s="89">
        <f t="shared" si="237"/>
        <v>115898.61727914885</v>
      </c>
      <c r="L430" s="89">
        <f t="shared" si="237"/>
        <v>4980.2581828776365</v>
      </c>
      <c r="M430" s="89">
        <f t="shared" si="237"/>
        <v>102531.43405498296</v>
      </c>
      <c r="N430" s="89">
        <f t="shared" si="237"/>
        <v>166986.26735264043</v>
      </c>
      <c r="O430" s="89">
        <f t="shared" si="237"/>
        <v>0</v>
      </c>
      <c r="P430" s="89">
        <f t="shared" si="237"/>
        <v>0</v>
      </c>
      <c r="Q430" s="89">
        <f t="shared" si="238"/>
        <v>7815.2069728706938</v>
      </c>
      <c r="R430" s="89">
        <f t="shared" si="238"/>
        <v>284.34128586727525</v>
      </c>
      <c r="S430" s="89">
        <f t="shared" si="238"/>
        <v>76.608487404342867</v>
      </c>
      <c r="T430" s="89">
        <f t="shared" si="238"/>
        <v>107.87723781181731</v>
      </c>
      <c r="U430" s="89">
        <f t="shared" si="238"/>
        <v>0.67315061575305335</v>
      </c>
      <c r="V430" s="89">
        <f t="shared" si="238"/>
        <v>0</v>
      </c>
      <c r="W430" s="89">
        <f t="shared" si="238"/>
        <v>0</v>
      </c>
      <c r="X430" s="91">
        <f t="shared" si="239"/>
        <v>1048474.0265655698</v>
      </c>
      <c r="Y430" s="87" t="str">
        <f t="shared" si="240"/>
        <v>ok</v>
      </c>
      <c r="Z430" s="203" t="str">
        <f t="shared" si="241"/>
        <v/>
      </c>
    </row>
    <row r="431" spans="1:26" ht="12" customHeight="1" x14ac:dyDescent="0.5">
      <c r="A431" s="96" t="s">
        <v>794</v>
      </c>
      <c r="C431" s="86" t="s">
        <v>374</v>
      </c>
      <c r="D431" s="86" t="s">
        <v>1702</v>
      </c>
      <c r="E431" s="86" t="s">
        <v>905</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795</v>
      </c>
      <c r="C432" s="86" t="s">
        <v>374</v>
      </c>
      <c r="D432" s="86" t="s">
        <v>1703</v>
      </c>
      <c r="E432" s="86" t="s">
        <v>734</v>
      </c>
      <c r="F432" s="90">
        <f>VLOOKUP(C432,'WSS-26'!$C$1:$AU$617,22,)</f>
        <v>472006.9664932639</v>
      </c>
      <c r="G432" s="89">
        <f t="shared" si="237"/>
        <v>389821.27600976604</v>
      </c>
      <c r="H432" s="89">
        <f t="shared" si="237"/>
        <v>1172.2234442818078</v>
      </c>
      <c r="I432" s="89">
        <f t="shared" si="237"/>
        <v>72888.962062591585</v>
      </c>
      <c r="J432" s="89">
        <f t="shared" si="237"/>
        <v>5283.3764849392455</v>
      </c>
      <c r="K432" s="89">
        <f t="shared" si="237"/>
        <v>0</v>
      </c>
      <c r="L432" s="89">
        <f t="shared" si="237"/>
        <v>0</v>
      </c>
      <c r="M432" s="89">
        <f t="shared" si="237"/>
        <v>0</v>
      </c>
      <c r="N432" s="89">
        <f t="shared" si="237"/>
        <v>0</v>
      </c>
      <c r="O432" s="89">
        <f t="shared" si="237"/>
        <v>0</v>
      </c>
      <c r="P432" s="89">
        <f t="shared" si="237"/>
        <v>0</v>
      </c>
      <c r="Q432" s="89">
        <f t="shared" si="238"/>
        <v>2715.4786732011826</v>
      </c>
      <c r="R432" s="89">
        <f t="shared" si="238"/>
        <v>98.797472717420476</v>
      </c>
      <c r="S432" s="89">
        <f t="shared" si="238"/>
        <v>26.61845226298351</v>
      </c>
      <c r="T432" s="89">
        <f t="shared" si="238"/>
        <v>0</v>
      </c>
      <c r="U432" s="89">
        <f t="shared" si="238"/>
        <v>0.23389350368774989</v>
      </c>
      <c r="V432" s="89">
        <f t="shared" si="238"/>
        <v>0</v>
      </c>
      <c r="W432" s="89">
        <f t="shared" si="238"/>
        <v>0</v>
      </c>
      <c r="X432" s="91">
        <f t="shared" si="239"/>
        <v>472006.9664932639</v>
      </c>
      <c r="Y432" s="87" t="str">
        <f t="shared" si="240"/>
        <v>ok</v>
      </c>
      <c r="Z432" s="203" t="str">
        <f t="shared" si="241"/>
        <v/>
      </c>
    </row>
    <row r="433" spans="1:26" ht="12" customHeight="1" x14ac:dyDescent="0.5">
      <c r="A433" s="96" t="s">
        <v>796</v>
      </c>
      <c r="C433" s="86" t="s">
        <v>374</v>
      </c>
      <c r="D433" s="86" t="s">
        <v>1704</v>
      </c>
      <c r="E433" s="86" t="s">
        <v>904</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86" t="s">
        <v>1705</v>
      </c>
      <c r="F434" s="89">
        <f>SUM(F429:F433)</f>
        <v>4511333.1039011069</v>
      </c>
      <c r="G434" s="89">
        <f t="shared" ref="G434:U434" si="242">SUM(G429:G433)</f>
        <v>3294502.4465611284</v>
      </c>
      <c r="H434" s="89">
        <f t="shared" ref="H434" si="243">SUM(H429:H433)</f>
        <v>6304.2233385863665</v>
      </c>
      <c r="I434" s="89">
        <f t="shared" si="242"/>
        <v>652571.25102357962</v>
      </c>
      <c r="J434" s="89">
        <f>SUM(J429:J433)</f>
        <v>20883.372929401357</v>
      </c>
      <c r="K434" s="89">
        <f>SUM(K429:K433)</f>
        <v>140026.48208691188</v>
      </c>
      <c r="L434" s="89">
        <f>SUM(L429:L433)</f>
        <v>5735.2793854228858</v>
      </c>
      <c r="M434" s="89">
        <f t="shared" si="242"/>
        <v>106693.09684326184</v>
      </c>
      <c r="N434" s="89">
        <f t="shared" si="242"/>
        <v>167933.7449401482</v>
      </c>
      <c r="O434" s="89">
        <f t="shared" si="242"/>
        <v>0</v>
      </c>
      <c r="P434" s="89">
        <f t="shared" si="242"/>
        <v>0</v>
      </c>
      <c r="Q434" s="89">
        <f>SUM(Q429:Q433)</f>
        <v>115142.71826788613</v>
      </c>
      <c r="R434" s="89">
        <f t="shared" si="242"/>
        <v>448.33452028097048</v>
      </c>
      <c r="S434" s="89">
        <f t="shared" si="242"/>
        <v>907.30800058804869</v>
      </c>
      <c r="T434" s="89">
        <f t="shared" si="242"/>
        <v>129.60915837724224</v>
      </c>
      <c r="U434" s="89">
        <f t="shared" si="242"/>
        <v>55.23684553300312</v>
      </c>
      <c r="V434" s="89">
        <f>SUM(V429:V433)</f>
        <v>0</v>
      </c>
      <c r="W434" s="89">
        <f>SUM(W429:W433)</f>
        <v>0</v>
      </c>
      <c r="X434" s="91">
        <f t="shared" si="239"/>
        <v>4511333.1039011069</v>
      </c>
      <c r="Y434" s="87" t="str">
        <f t="shared" si="240"/>
        <v>ok</v>
      </c>
      <c r="Z434" s="91" t="str">
        <f t="shared" si="241"/>
        <v/>
      </c>
    </row>
    <row r="435" spans="1:26" ht="12" customHeight="1" x14ac:dyDescent="0.5">
      <c r="F435" s="90"/>
    </row>
    <row r="436" spans="1:26" ht="12" customHeight="1" x14ac:dyDescent="0.5">
      <c r="A436" s="23" t="s">
        <v>791</v>
      </c>
      <c r="F436" s="90"/>
    </row>
    <row r="437" spans="1:26" ht="12" customHeight="1" x14ac:dyDescent="0.5">
      <c r="A437" s="96" t="s">
        <v>389</v>
      </c>
      <c r="C437" s="86" t="s">
        <v>374</v>
      </c>
      <c r="D437" s="86" t="s">
        <v>1706</v>
      </c>
      <c r="E437" s="86" t="s">
        <v>2178</v>
      </c>
      <c r="F437" s="89">
        <f>VLOOKUP(C437,'WSS-26'!$C$1:$AU$617,24,)</f>
        <v>688060.74552669446</v>
      </c>
      <c r="G437" s="89">
        <f t="shared" ref="G437:P438" si="244">IF(VLOOKUP($E437,$D$5:$W$977,3,)=0,0,(VLOOKUP($E437,$D$5:$W$977,G$1,)/VLOOKUP($E437,$D$5:$W$977,3,))*$F437)</f>
        <v>469013.34013051365</v>
      </c>
      <c r="H437" s="89">
        <f t="shared" si="244"/>
        <v>1410.3602517789004</v>
      </c>
      <c r="I437" s="89">
        <f t="shared" si="244"/>
        <v>87696.330753290982</v>
      </c>
      <c r="J437" s="89">
        <f t="shared" si="244"/>
        <v>6356.6926816644263</v>
      </c>
      <c r="K437" s="89">
        <f t="shared" si="244"/>
        <v>64792.212256707557</v>
      </c>
      <c r="L437" s="89">
        <f t="shared" si="244"/>
        <v>0</v>
      </c>
      <c r="M437" s="89">
        <f t="shared" si="244"/>
        <v>55296.708546176043</v>
      </c>
      <c r="N437" s="89">
        <f t="shared" si="244"/>
        <v>0</v>
      </c>
      <c r="O437" s="89">
        <f t="shared" si="244"/>
        <v>0</v>
      </c>
      <c r="P437" s="89">
        <f t="shared" si="244"/>
        <v>0</v>
      </c>
      <c r="Q437" s="89">
        <f t="shared" ref="Q437:W438" si="245">IF(VLOOKUP($E437,$D$5:$W$977,3,)=0,0,(VLOOKUP($E437,$D$5:$W$977,Q$1,)/VLOOKUP($E437,$D$5:$W$977,3,))*$F437)</f>
        <v>3267.1272733183382</v>
      </c>
      <c r="R437" s="89">
        <f t="shared" si="245"/>
        <v>118.86814683375519</v>
      </c>
      <c r="S437" s="89">
        <f t="shared" si="245"/>
        <v>32.025982093018861</v>
      </c>
      <c r="T437" s="89">
        <f t="shared" si="245"/>
        <v>76.798095425572171</v>
      </c>
      <c r="U437" s="89">
        <f t="shared" si="245"/>
        <v>0.28140889210129194</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86" t="s">
        <v>1707</v>
      </c>
      <c r="E438" s="86" t="s">
        <v>2177</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1469</v>
      </c>
      <c r="D439" s="86" t="s">
        <v>1708</v>
      </c>
      <c r="F439" s="89">
        <f t="shared" ref="F439:U439" si="246">F437+F438</f>
        <v>1259720.1914901291</v>
      </c>
      <c r="G439" s="89">
        <f t="shared" si="246"/>
        <v>927948.48323532776</v>
      </c>
      <c r="H439" s="89">
        <f t="shared" ref="H439" si="247">H437+H438</f>
        <v>2081.5732635465188</v>
      </c>
      <c r="I439" s="89">
        <f t="shared" si="246"/>
        <v>173711.34308482427</v>
      </c>
      <c r="J439" s="89">
        <f>J437+J438</f>
        <v>6797.2411599763</v>
      </c>
      <c r="K439" s="89">
        <f>K437+K438</f>
        <v>69406.54195525244</v>
      </c>
      <c r="L439" s="89">
        <f>L437+L438</f>
        <v>0</v>
      </c>
      <c r="M439" s="89">
        <f t="shared" si="246"/>
        <v>56092.605089541365</v>
      </c>
      <c r="N439" s="89">
        <f t="shared" si="246"/>
        <v>0</v>
      </c>
      <c r="O439" s="89">
        <f t="shared" si="246"/>
        <v>0</v>
      </c>
      <c r="P439" s="89">
        <f t="shared" si="246"/>
        <v>0</v>
      </c>
      <c r="Q439" s="89">
        <f>Q437+Q438</f>
        <v>23273.638947599287</v>
      </c>
      <c r="R439" s="89">
        <f t="shared" si="246"/>
        <v>131.33649999352519</v>
      </c>
      <c r="S439" s="89">
        <f t="shared" si="246"/>
        <v>185.80233773018219</v>
      </c>
      <c r="T439" s="89">
        <f t="shared" si="246"/>
        <v>80.954213145495501</v>
      </c>
      <c r="U439" s="89">
        <f t="shared" si="246"/>
        <v>10.671703191909625</v>
      </c>
      <c r="V439" s="89">
        <f>V437+V438</f>
        <v>0</v>
      </c>
      <c r="W439" s="89">
        <f>W437+W438</f>
        <v>0</v>
      </c>
      <c r="X439" s="91">
        <f>SUM(G439:W439)</f>
        <v>1259720.1914901289</v>
      </c>
      <c r="Y439" s="87" t="str">
        <f>IF(ABS(F439-X439)&lt;0.01,"ok","err")</f>
        <v>ok</v>
      </c>
      <c r="Z439" s="91" t="str">
        <f>IF(Y439="err",X439-F439,"")</f>
        <v/>
      </c>
    </row>
    <row r="440" spans="1:26" ht="12" customHeight="1" x14ac:dyDescent="0.5">
      <c r="F440" s="90"/>
    </row>
    <row r="441" spans="1:26" ht="12" customHeight="1" x14ac:dyDescent="0.5">
      <c r="A441" s="23" t="s">
        <v>128</v>
      </c>
      <c r="F441" s="90"/>
    </row>
    <row r="442" spans="1:26" ht="12" customHeight="1" x14ac:dyDescent="0.5">
      <c r="A442" s="96" t="s">
        <v>392</v>
      </c>
      <c r="C442" s="86" t="s">
        <v>374</v>
      </c>
      <c r="D442" s="86" t="s">
        <v>1709</v>
      </c>
      <c r="E442" s="86" t="s">
        <v>393</v>
      </c>
      <c r="F442" s="89">
        <f>VLOOKUP(C442,'WSS-26'!$C$1:$AU$617,26,)</f>
        <v>481981.59936413309</v>
      </c>
      <c r="G442" s="89">
        <f t="shared" ref="G442:W442" si="248">IF(VLOOKUP($E442,$D$5:$W$977,3,)=0,0,(VLOOKUP($E442,$D$5:$W$977,G$1,)/VLOOKUP($E442,$D$5:$W$977,3,))*$F442)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F443" s="90"/>
    </row>
    <row r="444" spans="1:26" ht="12" customHeight="1" x14ac:dyDescent="0.5">
      <c r="A444" s="23" t="s">
        <v>127</v>
      </c>
      <c r="F444" s="90"/>
    </row>
    <row r="445" spans="1:26" ht="12" customHeight="1" x14ac:dyDescent="0.5">
      <c r="A445" s="96" t="s">
        <v>392</v>
      </c>
      <c r="C445" s="86" t="s">
        <v>374</v>
      </c>
      <c r="D445" s="86" t="s">
        <v>1710</v>
      </c>
      <c r="E445" s="86" t="s">
        <v>2468</v>
      </c>
      <c r="F445" s="89">
        <f>VLOOKUP(C445,'WSS-26'!$C$1:$AU$617,27,)</f>
        <v>286653.15873077803</v>
      </c>
      <c r="G445" s="89">
        <f t="shared" ref="G445:W445" si="249">IF(VLOOKUP($E445,$D$5:$W$977,3,)=0,0,(VLOOKUP($E445,$D$5:$W$977,G$1,)/VLOOKUP($E445,$D$5:$W$977,3,))*$F445)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F446" s="90"/>
    </row>
    <row r="447" spans="1:26" ht="12" customHeight="1" x14ac:dyDescent="0.5">
      <c r="A447" s="23" t="s">
        <v>144</v>
      </c>
      <c r="F447" s="90"/>
    </row>
    <row r="448" spans="1:26" ht="12" customHeight="1" x14ac:dyDescent="0.5">
      <c r="A448" s="96" t="s">
        <v>392</v>
      </c>
      <c r="C448" s="86" t="s">
        <v>374</v>
      </c>
      <c r="D448" s="86" t="s">
        <v>1711</v>
      </c>
      <c r="E448" s="86" t="s">
        <v>395</v>
      </c>
      <c r="F448" s="89">
        <f>VLOOKUP(C448,'WSS-26'!$C$1:$AU$617,28,)</f>
        <v>551968.31776504801</v>
      </c>
      <c r="G448" s="89">
        <f t="shared" ref="G448:W448" si="250">IF(VLOOKUP($E448,$D$5:$W$977,3,)=0,0,(VLOOKUP($E448,$D$5:$W$977,G$1,)/VLOOKUP($E448,$D$5:$W$977,3,))*$F448)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F449" s="90"/>
    </row>
    <row r="450" spans="1:26" ht="12" customHeight="1" x14ac:dyDescent="0.5">
      <c r="A450" s="23" t="s">
        <v>292</v>
      </c>
      <c r="F450" s="90"/>
    </row>
    <row r="451" spans="1:26" ht="12" customHeight="1" x14ac:dyDescent="0.5">
      <c r="A451" s="96" t="s">
        <v>392</v>
      </c>
      <c r="C451" s="86" t="s">
        <v>374</v>
      </c>
      <c r="D451" s="86" t="s">
        <v>1712</v>
      </c>
      <c r="E451" s="86" t="s">
        <v>396</v>
      </c>
      <c r="F451" s="89">
        <f>VLOOKUP(C451,'WSS-26'!$C$1:$AU$617,30,)</f>
        <v>0</v>
      </c>
      <c r="G451" s="89">
        <f t="shared" ref="G451:W451" si="251">IF(VLOOKUP($E451,$D$5:$W$977,3,)=0,0,(VLOOKUP($E451,$D$5:$W$977,G$1,)/VLOOKUP($E451,$D$5:$W$977,3,))*$F451)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F452" s="90"/>
    </row>
    <row r="453" spans="1:26" ht="12" customHeight="1" x14ac:dyDescent="0.5">
      <c r="A453" s="23" t="s">
        <v>1631</v>
      </c>
      <c r="F453" s="90"/>
    </row>
    <row r="454" spans="1:26" ht="12" customHeight="1" x14ac:dyDescent="0.5">
      <c r="A454" s="96" t="s">
        <v>392</v>
      </c>
      <c r="C454" s="86" t="s">
        <v>374</v>
      </c>
      <c r="D454" s="86" t="s">
        <v>1713</v>
      </c>
      <c r="E454" s="86" t="s">
        <v>396</v>
      </c>
      <c r="F454" s="89">
        <f>VLOOKUP(C454,'WSS-26'!$C$1:$AU$617,32,)</f>
        <v>0</v>
      </c>
      <c r="G454" s="89">
        <f t="shared" ref="G454:W454" si="252">IF(VLOOKUP($E454,$D$5:$W$977,3,)=0,0,(VLOOKUP($E454,$D$5:$W$977,G$1,)/VLOOKUP($E454,$D$5:$W$977,3,))*$F454)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F455" s="90"/>
    </row>
    <row r="456" spans="1:26" ht="12" customHeight="1" x14ac:dyDescent="0.5">
      <c r="A456" s="23" t="s">
        <v>1630</v>
      </c>
      <c r="F456" s="90"/>
    </row>
    <row r="457" spans="1:26" ht="12" customHeight="1" x14ac:dyDescent="0.5">
      <c r="A457" s="96" t="s">
        <v>392</v>
      </c>
      <c r="C457" s="86" t="s">
        <v>374</v>
      </c>
      <c r="D457" s="86" t="s">
        <v>1714</v>
      </c>
      <c r="E457" s="86" t="s">
        <v>397</v>
      </c>
      <c r="F457" s="89">
        <f>VLOOKUP(C457,'WSS-26'!$C$1:$AU$617,34,)</f>
        <v>0</v>
      </c>
      <c r="G457" s="89">
        <f t="shared" ref="G457:W457" si="253">IF(VLOOKUP($E457,$D$5:$W$977,3,)=0,0,(VLOOKUP($E457,$D$5:$W$977,G$1,)/VLOOKUP($E457,$D$5:$W$977,3,))*$F457)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F458" s="90"/>
    </row>
    <row r="459" spans="1:26" ht="12" customHeight="1" x14ac:dyDescent="0.5">
      <c r="A459" s="86" t="s">
        <v>62</v>
      </c>
      <c r="D459" s="86" t="s">
        <v>407</v>
      </c>
      <c r="F459" s="89">
        <f>F414+F420+F423+F426+F434+F439+F442+F445+F448+F451+F454+F457</f>
        <v>35914758</v>
      </c>
      <c r="G459" s="89">
        <f t="shared" ref="G459:U459" si="254">G414+G420+G423+G426+G434+G439+G442+G445+G448+G451+G454+G457</f>
        <v>16842550.50297663</v>
      </c>
      <c r="H459" s="89">
        <f t="shared" ref="H459" si="255">H414+H420+H423+H426+H434+H439+H442+H445+H448+H451+H454+H457</f>
        <v>27855.376134083268</v>
      </c>
      <c r="I459" s="89">
        <f t="shared" si="254"/>
        <v>4199400.9097359888</v>
      </c>
      <c r="J459" s="89">
        <f>J414+J420+J423+J426+J434+J439+J442+J445+J448+J451+J454+J457</f>
        <v>264768.15207863163</v>
      </c>
      <c r="K459" s="89">
        <f>K414+K420+K423+K426+K434+K439+K442+K445+K448+K451+K454+K457</f>
        <v>3213110.8138611987</v>
      </c>
      <c r="L459" s="89">
        <f>L414+L420+L423+L426+L434+L439+L442+L445+L448+L451+L454+L457</f>
        <v>138732.56826273439</v>
      </c>
      <c r="M459" s="89">
        <f t="shared" si="254"/>
        <v>2975845.0414199485</v>
      </c>
      <c r="N459" s="89">
        <f t="shared" si="254"/>
        <v>5193537.8875708571</v>
      </c>
      <c r="O459" s="89">
        <f t="shared" si="254"/>
        <v>1584716.3373163824</v>
      </c>
      <c r="P459" s="89">
        <f>P414+P420+P423+P426+P434+P439+P442+P445+P448+P451+P454+P457</f>
        <v>721164.58941585035</v>
      </c>
      <c r="Q459" s="89">
        <f>Q414+Q420+Q423+Q426+Q434+Q439+Q442+Q445+Q448+Q451+Q454+Q457</f>
        <v>738708.30467447173</v>
      </c>
      <c r="R459" s="89">
        <f t="shared" si="254"/>
        <v>2379.8223256767028</v>
      </c>
      <c r="S459" s="89">
        <f t="shared" si="254"/>
        <v>4172.4954314631996</v>
      </c>
      <c r="T459" s="89">
        <f t="shared" si="254"/>
        <v>1131.2058809241596</v>
      </c>
      <c r="U459" s="89">
        <f t="shared" si="254"/>
        <v>2075.6572489719283</v>
      </c>
      <c r="V459" s="89">
        <f>V414+V420+V423+V426+V434+V439+V442+V445+V448+V451+V454+V457</f>
        <v>4038.9486899610001</v>
      </c>
      <c r="W459" s="89">
        <f>W414+W420+W423+W426+W434+W439+W442+W445+W448+W451+W454+W457</f>
        <v>569.38697621906249</v>
      </c>
      <c r="X459" s="91">
        <f>SUM(G459:W459)</f>
        <v>35914757.999999985</v>
      </c>
      <c r="Y459" s="87" t="str">
        <f>IF(ABS(F459-X459)&lt;0.01,"ok","err")</f>
        <v>ok</v>
      </c>
      <c r="Z459" s="91" t="str">
        <f>IF(Y459="err",X459-F459,"")</f>
        <v/>
      </c>
    </row>
    <row r="462" spans="1:26" ht="12" customHeight="1" x14ac:dyDescent="0.5">
      <c r="A462" s="22" t="s">
        <v>408</v>
      </c>
    </row>
    <row r="464" spans="1:26" ht="12" customHeight="1" x14ac:dyDescent="0.5">
      <c r="A464" s="23" t="s">
        <v>137</v>
      </c>
    </row>
    <row r="465" spans="1:26" ht="12" customHeight="1" x14ac:dyDescent="0.5">
      <c r="A465" s="96" t="s">
        <v>2274</v>
      </c>
      <c r="C465" s="86" t="s">
        <v>1686</v>
      </c>
      <c r="D465" s="86" t="s">
        <v>1715</v>
      </c>
      <c r="E465" s="86" t="s">
        <v>2273</v>
      </c>
      <c r="F465" s="89">
        <f>VLOOKUP(C465,'WSS-26'!$C$1:$AU$617,6,)</f>
        <v>8507901.3528177198</v>
      </c>
      <c r="G465" s="89">
        <f t="shared" ref="G465:P470" si="256">IF(VLOOKUP($E465,$D$5:$W$977,3,)=0,0,(VLOOKUP($E465,$D$5:$W$977,G$1,)/VLOOKUP($E465,$D$5:$W$977,3,))*$F465)</f>
        <v>3488018.046679846</v>
      </c>
      <c r="H465" s="89">
        <f t="shared" si="256"/>
        <v>3562.1714543501207</v>
      </c>
      <c r="I465" s="89">
        <f t="shared" si="256"/>
        <v>940433.82555909513</v>
      </c>
      <c r="J465" s="89">
        <f t="shared" si="256"/>
        <v>60345.06967914581</v>
      </c>
      <c r="K465" s="89">
        <f t="shared" si="256"/>
        <v>876992.1863399453</v>
      </c>
      <c r="L465" s="89">
        <f t="shared" si="256"/>
        <v>38101.084820672484</v>
      </c>
      <c r="M465" s="89">
        <f t="shared" si="256"/>
        <v>843426.6173579843</v>
      </c>
      <c r="N465" s="89">
        <f t="shared" si="256"/>
        <v>1543985.7679895591</v>
      </c>
      <c r="O465" s="89">
        <f t="shared" si="256"/>
        <v>502590.61060918815</v>
      </c>
      <c r="P465" s="89">
        <f t="shared" si="256"/>
        <v>208122.08034259375</v>
      </c>
      <c r="Q465" s="89">
        <f t="shared" ref="Q465:W470" si="257">IF(VLOOKUP($E465,$D$5:$W$977,3,)=0,0,(VLOOKUP($E465,$D$5:$W$977,Q$1,)/VLOOKUP($E465,$D$5:$W$977,3,))*$F465)</f>
        <v>1356.551759141618</v>
      </c>
      <c r="R465" s="89">
        <f t="shared" si="257"/>
        <v>49.35552863523916</v>
      </c>
      <c r="S465" s="89">
        <f t="shared" si="257"/>
        <v>807.075453380461</v>
      </c>
      <c r="T465" s="89">
        <f t="shared" si="257"/>
        <v>103.88442649327872</v>
      </c>
      <c r="U465" s="89">
        <f t="shared" si="257"/>
        <v>7.0248176872801205</v>
      </c>
      <c r="V465" s="89">
        <f t="shared" si="257"/>
        <v>0</v>
      </c>
      <c r="W465" s="89">
        <f t="shared" si="257"/>
        <v>0</v>
      </c>
      <c r="X465" s="91">
        <f t="shared" ref="X465:X470" si="258">SUM(G465:W465)</f>
        <v>8507901.3528177179</v>
      </c>
      <c r="Y465" s="87" t="str">
        <f t="shared" ref="Y465:Y470" si="259">IF(ABS(F465-X465)&lt;0.01,"ok","err")</f>
        <v>ok</v>
      </c>
      <c r="Z465" s="203" t="str">
        <f t="shared" ref="Z465:Z470" si="260">IF(Y465="err",X465-F465,"")</f>
        <v/>
      </c>
    </row>
    <row r="466" spans="1:26" ht="12" hidden="1" customHeight="1" x14ac:dyDescent="0.5">
      <c r="A466" s="96" t="s">
        <v>2275</v>
      </c>
      <c r="C466" s="86" t="s">
        <v>1686</v>
      </c>
      <c r="D466" s="86" t="s">
        <v>1716</v>
      </c>
      <c r="E466" s="86" t="s">
        <v>2273</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2275</v>
      </c>
      <c r="C467" s="86" t="s">
        <v>1686</v>
      </c>
      <c r="D467" s="86" t="s">
        <v>1717</v>
      </c>
      <c r="E467" s="86" t="s">
        <v>2273</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2277</v>
      </c>
      <c r="C468" s="86" t="s">
        <v>1686</v>
      </c>
      <c r="D468" s="86" t="s">
        <v>1718</v>
      </c>
      <c r="E468" s="86"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2276</v>
      </c>
      <c r="C469" s="86" t="s">
        <v>1686</v>
      </c>
      <c r="D469" s="86" t="s">
        <v>1719</v>
      </c>
      <c r="E469" s="86"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2276</v>
      </c>
      <c r="C470" s="86" t="s">
        <v>1686</v>
      </c>
      <c r="D470" s="86" t="s">
        <v>1720</v>
      </c>
      <c r="E470" s="86"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86" t="s">
        <v>409</v>
      </c>
      <c r="F471" s="89">
        <f t="shared" ref="F471:U471" si="261">SUM(F465:F470)</f>
        <v>8507901.3528177198</v>
      </c>
      <c r="G471" s="89">
        <f t="shared" si="261"/>
        <v>3488018.046679846</v>
      </c>
      <c r="H471" s="89">
        <f t="shared" ref="H471" si="262">SUM(H465:H470)</f>
        <v>3562.1714543501207</v>
      </c>
      <c r="I471" s="89">
        <f t="shared" si="261"/>
        <v>940433.82555909513</v>
      </c>
      <c r="J471" s="89">
        <f>SUM(J465:J470)</f>
        <v>60345.06967914581</v>
      </c>
      <c r="K471" s="89">
        <f>SUM(K465:K470)</f>
        <v>876992.1863399453</v>
      </c>
      <c r="L471" s="89">
        <f>SUM(L465:L470)</f>
        <v>38101.084820672484</v>
      </c>
      <c r="M471" s="89">
        <f t="shared" si="261"/>
        <v>843426.6173579843</v>
      </c>
      <c r="N471" s="89">
        <f t="shared" si="261"/>
        <v>1543985.7679895591</v>
      </c>
      <c r="O471" s="89">
        <f t="shared" si="261"/>
        <v>502590.61060918815</v>
      </c>
      <c r="P471" s="89">
        <f t="shared" si="261"/>
        <v>208122.08034259375</v>
      </c>
      <c r="Q471" s="89">
        <f>SUM(Q465:Q470)</f>
        <v>1356.551759141618</v>
      </c>
      <c r="R471" s="89">
        <f t="shared" si="261"/>
        <v>49.35552863523916</v>
      </c>
      <c r="S471" s="89">
        <f t="shared" si="261"/>
        <v>807.075453380461</v>
      </c>
      <c r="T471" s="89">
        <f t="shared" si="261"/>
        <v>103.88442649327872</v>
      </c>
      <c r="U471" s="89">
        <f t="shared" si="261"/>
        <v>7.0248176872801205</v>
      </c>
      <c r="V471" s="89">
        <f>SUM(V465:V470)</f>
        <v>0</v>
      </c>
      <c r="W471" s="89">
        <f>SUM(W465:W470)</f>
        <v>0</v>
      </c>
      <c r="X471" s="91">
        <f>SUM(G471:W471)</f>
        <v>8507901.3528177179</v>
      </c>
      <c r="Y471" s="87" t="str">
        <f>IF(ABS(F471-X471)&lt;0.01,"ok","err")</f>
        <v>ok</v>
      </c>
      <c r="Z471" s="91" t="str">
        <f>IF(Y471="err",X471-F471,"")</f>
        <v/>
      </c>
    </row>
    <row r="472" spans="1:26" ht="12" customHeight="1" x14ac:dyDescent="0.5">
      <c r="F472" s="90"/>
      <c r="G472" s="90"/>
      <c r="H472" s="90"/>
    </row>
    <row r="473" spans="1:26" ht="12" customHeight="1" x14ac:dyDescent="0.5">
      <c r="A473" s="23" t="s">
        <v>441</v>
      </c>
      <c r="F473" s="90"/>
      <c r="G473" s="90"/>
      <c r="H473" s="90"/>
    </row>
    <row r="474" spans="1:26" ht="12" customHeight="1" x14ac:dyDescent="0.5">
      <c r="A474" s="96" t="s">
        <v>2248</v>
      </c>
      <c r="C474" s="86" t="s">
        <v>1686</v>
      </c>
      <c r="D474" s="86" t="s">
        <v>1721</v>
      </c>
      <c r="E474" s="86" t="s">
        <v>2249</v>
      </c>
      <c r="F474" s="89">
        <f>VLOOKUP(C474,'WSS-26'!$C$1:$AU$617,13,)</f>
        <v>1945145.602642254</v>
      </c>
      <c r="G474" s="89">
        <f t="shared" ref="G474:P476" si="263">IF(VLOOKUP($E474,$D$5:$W$977,3,)=0,0,(VLOOKUP($E474,$D$5:$W$977,G$1,)/VLOOKUP($E474,$D$5:$W$977,3,))*$F474)</f>
        <v>857689.69035751338</v>
      </c>
      <c r="H474" s="89">
        <f t="shared" si="263"/>
        <v>2755.5403488475249</v>
      </c>
      <c r="I474" s="89">
        <f t="shared" si="263"/>
        <v>220672.33290261455</v>
      </c>
      <c r="J474" s="89">
        <f t="shared" si="263"/>
        <v>22584.553610362003</v>
      </c>
      <c r="K474" s="89">
        <f t="shared" si="263"/>
        <v>196858.99963973972</v>
      </c>
      <c r="L474" s="89">
        <f t="shared" si="263"/>
        <v>8459.1918941323147</v>
      </c>
      <c r="M474" s="89">
        <f t="shared" si="263"/>
        <v>174154.2393993962</v>
      </c>
      <c r="N474" s="89">
        <f t="shared" si="263"/>
        <v>283633.66463155393</v>
      </c>
      <c r="O474" s="89">
        <f t="shared" si="263"/>
        <v>98358.023245501929</v>
      </c>
      <c r="P474" s="89">
        <f t="shared" si="263"/>
        <v>65907.419965537483</v>
      </c>
      <c r="Q474" s="89">
        <f t="shared" ref="Q474:W476" si="264">IF(VLOOKUP($E474,$D$5:$W$977,3,)=0,0,(VLOOKUP($E474,$D$5:$W$977,Q$1,)/VLOOKUP($E474,$D$5:$W$977,3,))*$F474)</f>
        <v>13274.479564767262</v>
      </c>
      <c r="R474" s="89">
        <f t="shared" si="264"/>
        <v>482.96642709109756</v>
      </c>
      <c r="S474" s="89">
        <f t="shared" si="264"/>
        <v>130.12295183823343</v>
      </c>
      <c r="T474" s="89">
        <f t="shared" si="264"/>
        <v>183.23432684604862</v>
      </c>
      <c r="U474" s="89">
        <f t="shared" si="264"/>
        <v>1.1433765124638946</v>
      </c>
      <c r="V474" s="89">
        <f t="shared" si="264"/>
        <v>0</v>
      </c>
      <c r="W474" s="89">
        <f t="shared" si="264"/>
        <v>0</v>
      </c>
      <c r="X474" s="91">
        <f>SUM(G474:W474)</f>
        <v>1945145.6026422542</v>
      </c>
      <c r="Y474" s="87" t="str">
        <f>IF(ABS(F474-X474)&lt;0.01,"ok","err")</f>
        <v>ok</v>
      </c>
      <c r="Z474" s="203" t="str">
        <f>IF(Y474="err",X474-F474,"")</f>
        <v/>
      </c>
    </row>
    <row r="475" spans="1:26" ht="12" hidden="1" customHeight="1" x14ac:dyDescent="0.5">
      <c r="A475" s="96" t="s">
        <v>2247</v>
      </c>
      <c r="C475" s="86" t="s">
        <v>1686</v>
      </c>
      <c r="D475" s="86" t="s">
        <v>1722</v>
      </c>
      <c r="E475" s="86" t="s">
        <v>2249</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2247</v>
      </c>
      <c r="C476" s="86" t="s">
        <v>1686</v>
      </c>
      <c r="D476" s="86" t="s">
        <v>1723</v>
      </c>
      <c r="E476" s="86" t="s">
        <v>2249</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86" t="s">
        <v>1724</v>
      </c>
      <c r="F477" s="89">
        <f t="shared" ref="F477:U477" si="265">SUM(F474:F476)</f>
        <v>1945145.602642254</v>
      </c>
      <c r="G477" s="89">
        <f t="shared" si="265"/>
        <v>857689.69035751338</v>
      </c>
      <c r="H477" s="89">
        <f t="shared" ref="H477" si="266">SUM(H474:H476)</f>
        <v>2755.5403488475249</v>
      </c>
      <c r="I477" s="89">
        <f t="shared" si="265"/>
        <v>220672.33290261455</v>
      </c>
      <c r="J477" s="89">
        <f>SUM(J474:J476)</f>
        <v>22584.553610362003</v>
      </c>
      <c r="K477" s="89">
        <f>SUM(K474:K476)</f>
        <v>196858.99963973972</v>
      </c>
      <c r="L477" s="89">
        <f>SUM(L474:L476)</f>
        <v>8459.1918941323147</v>
      </c>
      <c r="M477" s="89">
        <f t="shared" si="265"/>
        <v>174154.2393993962</v>
      </c>
      <c r="N477" s="89">
        <f t="shared" si="265"/>
        <v>283633.66463155393</v>
      </c>
      <c r="O477" s="89">
        <f t="shared" si="265"/>
        <v>98358.023245501929</v>
      </c>
      <c r="P477" s="89">
        <f t="shared" si="265"/>
        <v>65907.419965537483</v>
      </c>
      <c r="Q477" s="89">
        <f>SUM(Q474:Q476)</f>
        <v>13274.479564767262</v>
      </c>
      <c r="R477" s="89">
        <f t="shared" si="265"/>
        <v>482.96642709109756</v>
      </c>
      <c r="S477" s="89">
        <f t="shared" si="265"/>
        <v>130.12295183823343</v>
      </c>
      <c r="T477" s="89">
        <f t="shared" si="265"/>
        <v>183.23432684604862</v>
      </c>
      <c r="U477" s="89">
        <f t="shared" si="265"/>
        <v>1.1433765124638946</v>
      </c>
      <c r="V477" s="89">
        <f>SUM(V474:V476)</f>
        <v>0</v>
      </c>
      <c r="W477" s="89">
        <f>SUM(W474:W476)</f>
        <v>0</v>
      </c>
      <c r="X477" s="91">
        <f>SUM(G477:W477)</f>
        <v>1945145.6026422542</v>
      </c>
      <c r="Y477" s="87" t="str">
        <f>IF(ABS(F477-X477)&lt;0.01,"ok","err")</f>
        <v>ok</v>
      </c>
      <c r="Z477" s="91" t="str">
        <f>IF(Y477="err",X477-F477,"")</f>
        <v/>
      </c>
    </row>
    <row r="478" spans="1:26" ht="12" customHeight="1" x14ac:dyDescent="0.5">
      <c r="F478" s="90"/>
      <c r="G478" s="90"/>
      <c r="H478" s="90"/>
    </row>
    <row r="479" spans="1:26" ht="12" customHeight="1" x14ac:dyDescent="0.5">
      <c r="A479" s="23" t="s">
        <v>1628</v>
      </c>
      <c r="F479" s="90"/>
      <c r="G479" s="90"/>
      <c r="H479" s="90"/>
    </row>
    <row r="480" spans="1:26" ht="12" customHeight="1" x14ac:dyDescent="0.5">
      <c r="A480" s="96" t="s">
        <v>145</v>
      </c>
      <c r="C480" s="86" t="s">
        <v>1686</v>
      </c>
      <c r="D480" s="86" t="s">
        <v>1725</v>
      </c>
      <c r="E480" s="86" t="s">
        <v>2253</v>
      </c>
      <c r="F480" s="89">
        <f>VLOOKUP(C480,'WSS-26'!$C$1:$AU$617,17,)</f>
        <v>0</v>
      </c>
      <c r="G480" s="89">
        <f t="shared" ref="G480:W480" si="267">IF(VLOOKUP($E480,$D$5:$W$977,3,)=0,0,(VLOOKUP($E480,$D$5:$W$977,G$1,)/VLOOKUP($E480,$D$5:$W$977,3,))*$F480)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F481" s="90"/>
    </row>
    <row r="482" spans="1:26" ht="12" customHeight="1" x14ac:dyDescent="0.5">
      <c r="A482" s="23" t="s">
        <v>1629</v>
      </c>
      <c r="F482" s="90"/>
      <c r="G482" s="90"/>
      <c r="H482" s="90"/>
    </row>
    <row r="483" spans="1:26" ht="12" customHeight="1" x14ac:dyDescent="0.5">
      <c r="A483" s="96" t="s">
        <v>147</v>
      </c>
      <c r="C483" s="86" t="s">
        <v>1686</v>
      </c>
      <c r="D483" s="86" t="s">
        <v>1726</v>
      </c>
      <c r="E483" s="86" t="s">
        <v>2253</v>
      </c>
      <c r="F483" s="89">
        <f>VLOOKUP(C483,'WSS-26'!$C$1:$AU$617,18,)</f>
        <v>500992.42484112654</v>
      </c>
      <c r="G483" s="89">
        <f t="shared" ref="G483:W483" si="268">IF(VLOOKUP($E483,$D$5:$W$977,3,)=0,0,(VLOOKUP($E483,$D$5:$W$977,G$1,)/VLOOKUP($E483,$D$5:$W$977,3,))*$F483)</f>
        <v>241282.96082016194</v>
      </c>
      <c r="H483" s="89">
        <f t="shared" si="268"/>
        <v>775.18121239421112</v>
      </c>
      <c r="I483" s="89">
        <f t="shared" si="268"/>
        <v>62078.948193537486</v>
      </c>
      <c r="J483" s="89">
        <f t="shared" si="268"/>
        <v>6353.4259828148179</v>
      </c>
      <c r="K483" s="89">
        <f t="shared" si="268"/>
        <v>55379.845218114438</v>
      </c>
      <c r="L483" s="89">
        <f t="shared" si="268"/>
        <v>2379.7171509796021</v>
      </c>
      <c r="M483" s="89">
        <f t="shared" si="268"/>
        <v>48992.603028904436</v>
      </c>
      <c r="N483" s="89">
        <f t="shared" si="268"/>
        <v>79791.060986226614</v>
      </c>
      <c r="O483" s="89">
        <f t="shared" si="268"/>
        <v>0</v>
      </c>
      <c r="P483" s="89">
        <f t="shared" si="268"/>
        <v>0</v>
      </c>
      <c r="Q483" s="89">
        <f t="shared" si="268"/>
        <v>3734.340949578982</v>
      </c>
      <c r="R483" s="89">
        <f t="shared" si="268"/>
        <v>135.86681851882898</v>
      </c>
      <c r="S483" s="89">
        <f t="shared" si="268"/>
        <v>36.605839434890747</v>
      </c>
      <c r="T483" s="89">
        <f t="shared" si="268"/>
        <v>51.546988849632974</v>
      </c>
      <c r="U483" s="89">
        <f t="shared" si="268"/>
        <v>0.32165161055454045</v>
      </c>
      <c r="V483" s="89">
        <f t="shared" si="268"/>
        <v>0</v>
      </c>
      <c r="W483" s="89">
        <f t="shared" si="268"/>
        <v>0</v>
      </c>
      <c r="X483" s="91">
        <f>SUM(G483:W483)</f>
        <v>500992.42484112643</v>
      </c>
      <c r="Y483" s="87" t="str">
        <f>IF(ABS(F483-X483)&lt;0.01,"ok","err")</f>
        <v>ok</v>
      </c>
      <c r="Z483" s="203" t="str">
        <f>IF(Y483="err",X483-F483,"")</f>
        <v/>
      </c>
    </row>
    <row r="484" spans="1:26" ht="12" customHeight="1" x14ac:dyDescent="0.5">
      <c r="F484" s="90"/>
    </row>
    <row r="485" spans="1:26" ht="12" customHeight="1" x14ac:dyDescent="0.5">
      <c r="A485" s="23" t="s">
        <v>146</v>
      </c>
      <c r="F485" s="90"/>
    </row>
    <row r="486" spans="1:26" ht="12" customHeight="1" x14ac:dyDescent="0.5">
      <c r="A486" s="96" t="s">
        <v>792</v>
      </c>
      <c r="C486" s="86" t="s">
        <v>1686</v>
      </c>
      <c r="D486" s="86" t="s">
        <v>1727</v>
      </c>
      <c r="E486" s="86" t="s">
        <v>2253</v>
      </c>
      <c r="F486" s="89">
        <f>VLOOKUP(C486,'WSS-26'!$C$1:$AU$617,19,)</f>
        <v>0</v>
      </c>
      <c r="G486" s="89">
        <f t="shared" ref="G486:P490" si="269">IF(VLOOKUP($E486,$D$5:$W$977,3,)=0,0,(VLOOKUP($E486,$D$5:$W$977,G$1,)/VLOOKUP($E486,$D$5:$W$977,3,))*$F486)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IF(VLOOKUP($E486,$D$5:$W$977,3,)=0,0,(VLOOKUP($E486,$D$5:$W$977,Q$1,)/VLOOKUP($E486,$D$5:$W$977,3,))*$F486)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793</v>
      </c>
      <c r="C487" s="86" t="s">
        <v>1686</v>
      </c>
      <c r="D487" s="86" t="s">
        <v>1728</v>
      </c>
      <c r="E487" s="86" t="s">
        <v>2253</v>
      </c>
      <c r="F487" s="90">
        <f>VLOOKUP(C487,'WSS-26'!$C$1:$AU$617,20,)</f>
        <v>398465.99176428304</v>
      </c>
      <c r="G487" s="89">
        <f t="shared" si="269"/>
        <v>191905.20557175513</v>
      </c>
      <c r="H487" s="89">
        <f t="shared" si="269"/>
        <v>616.54295609689302</v>
      </c>
      <c r="I487" s="89">
        <f t="shared" si="269"/>
        <v>49374.697965674408</v>
      </c>
      <c r="J487" s="89">
        <f t="shared" si="269"/>
        <v>5053.218491569196</v>
      </c>
      <c r="K487" s="89">
        <f t="shared" si="269"/>
        <v>44046.544128059992</v>
      </c>
      <c r="L487" s="89">
        <f t="shared" si="269"/>
        <v>1892.7159527097911</v>
      </c>
      <c r="M487" s="89">
        <f t="shared" si="269"/>
        <v>38966.42980423697</v>
      </c>
      <c r="N487" s="89">
        <f t="shared" si="269"/>
        <v>63462.085798769556</v>
      </c>
      <c r="O487" s="89">
        <f t="shared" si="269"/>
        <v>0</v>
      </c>
      <c r="P487" s="89">
        <f t="shared" si="269"/>
        <v>0</v>
      </c>
      <c r="Q487" s="89">
        <f t="shared" si="270"/>
        <v>2970.1204973944205</v>
      </c>
      <c r="R487" s="89">
        <f t="shared" si="270"/>
        <v>108.06212610127039</v>
      </c>
      <c r="S487" s="89">
        <f t="shared" si="270"/>
        <v>29.114576172311143</v>
      </c>
      <c r="T487" s="89">
        <f t="shared" si="270"/>
        <v>40.998069064507206</v>
      </c>
      <c r="U487" s="89">
        <f t="shared" si="270"/>
        <v>0.25582667850284957</v>
      </c>
      <c r="V487" s="89">
        <f t="shared" si="270"/>
        <v>0</v>
      </c>
      <c r="W487" s="89">
        <f t="shared" si="270"/>
        <v>0</v>
      </c>
      <c r="X487" s="91">
        <f t="shared" si="271"/>
        <v>398465.99176428292</v>
      </c>
      <c r="Y487" s="87" t="str">
        <f t="shared" si="272"/>
        <v>ok</v>
      </c>
      <c r="Z487" s="203" t="str">
        <f t="shared" si="273"/>
        <v/>
      </c>
    </row>
    <row r="488" spans="1:26" ht="12" customHeight="1" x14ac:dyDescent="0.5">
      <c r="A488" s="96" t="s">
        <v>794</v>
      </c>
      <c r="C488" s="86" t="s">
        <v>1686</v>
      </c>
      <c r="D488" s="86" t="s">
        <v>1729</v>
      </c>
      <c r="E488" s="86" t="s">
        <v>905</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795</v>
      </c>
      <c r="C489" s="86" t="s">
        <v>1686</v>
      </c>
      <c r="D489" s="86" t="s">
        <v>1730</v>
      </c>
      <c r="E489" s="86" t="s">
        <v>734</v>
      </c>
      <c r="F489" s="90">
        <f>VLOOKUP(C489,'WSS-26'!$C$1:$AU$617,22,)</f>
        <v>179383.29348936616</v>
      </c>
      <c r="G489" s="89">
        <f t="shared" si="269"/>
        <v>148149.13619258418</v>
      </c>
      <c r="H489" s="89">
        <f t="shared" si="269"/>
        <v>445.49618346304663</v>
      </c>
      <c r="I489" s="89">
        <f t="shared" si="269"/>
        <v>27700.993845385838</v>
      </c>
      <c r="J489" s="89">
        <f t="shared" si="269"/>
        <v>2007.9141662969457</v>
      </c>
      <c r="K489" s="89">
        <f t="shared" si="269"/>
        <v>0</v>
      </c>
      <c r="L489" s="89">
        <f t="shared" si="269"/>
        <v>0</v>
      </c>
      <c r="M489" s="89">
        <f t="shared" si="269"/>
        <v>0</v>
      </c>
      <c r="N489" s="89">
        <f t="shared" si="269"/>
        <v>0</v>
      </c>
      <c r="O489" s="89">
        <f t="shared" si="269"/>
        <v>0</v>
      </c>
      <c r="P489" s="89">
        <f t="shared" si="269"/>
        <v>0</v>
      </c>
      <c r="Q489" s="89">
        <f t="shared" si="270"/>
        <v>1032.0006745195233</v>
      </c>
      <c r="R489" s="89">
        <f t="shared" si="270"/>
        <v>37.54736116745346</v>
      </c>
      <c r="S489" s="89">
        <f t="shared" si="270"/>
        <v>10.116176186970744</v>
      </c>
      <c r="T489" s="89">
        <f t="shared" si="270"/>
        <v>0</v>
      </c>
      <c r="U489" s="89">
        <f t="shared" si="270"/>
        <v>8.8889762218953505E-2</v>
      </c>
      <c r="V489" s="89">
        <f t="shared" si="270"/>
        <v>0</v>
      </c>
      <c r="W489" s="89">
        <f t="shared" si="270"/>
        <v>0</v>
      </c>
      <c r="X489" s="91">
        <f t="shared" si="271"/>
        <v>179383.29348936619</v>
      </c>
      <c r="Y489" s="87" t="str">
        <f t="shared" si="272"/>
        <v>ok</v>
      </c>
      <c r="Z489" s="203" t="str">
        <f t="shared" si="273"/>
        <v/>
      </c>
    </row>
    <row r="490" spans="1:26" ht="12" customHeight="1" x14ac:dyDescent="0.5">
      <c r="A490" s="96" t="s">
        <v>796</v>
      </c>
      <c r="C490" s="86" t="s">
        <v>1686</v>
      </c>
      <c r="D490" s="86" t="s">
        <v>1731</v>
      </c>
      <c r="E490" s="86" t="s">
        <v>904</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86" t="s">
        <v>1732</v>
      </c>
      <c r="F491" s="89">
        <f>SUM(F486:F490)</f>
        <v>1714503.9112827044</v>
      </c>
      <c r="G491" s="89">
        <f t="shared" ref="G491:U491" si="274">SUM(G486:G490)</f>
        <v>1252055.0356778342</v>
      </c>
      <c r="H491" s="89">
        <f t="shared" ref="H491" si="275">SUM(H486:H490)</f>
        <v>2395.8806239023779</v>
      </c>
      <c r="I491" s="89">
        <f t="shared" si="274"/>
        <v>248005.6197364541</v>
      </c>
      <c r="J491" s="89">
        <f>SUM(J486:J490)</f>
        <v>7936.5951800970925</v>
      </c>
      <c r="K491" s="89">
        <f>SUM(K486:K490)</f>
        <v>53216.188140389357</v>
      </c>
      <c r="L491" s="89">
        <f>SUM(L486:L490)</f>
        <v>2179.6570353236671</v>
      </c>
      <c r="M491" s="89">
        <f t="shared" si="274"/>
        <v>40548.043700531562</v>
      </c>
      <c r="N491" s="89">
        <f t="shared" si="274"/>
        <v>63822.168725971285</v>
      </c>
      <c r="O491" s="89">
        <f t="shared" si="274"/>
        <v>0</v>
      </c>
      <c r="P491" s="89">
        <f t="shared" si="274"/>
        <v>0</v>
      </c>
      <c r="Q491" s="89">
        <f>SUM(Q486:Q490)</f>
        <v>43759.269439736941</v>
      </c>
      <c r="R491" s="89">
        <f t="shared" si="274"/>
        <v>170.38672846393942</v>
      </c>
      <c r="S491" s="89">
        <f t="shared" si="274"/>
        <v>344.81672710027397</v>
      </c>
      <c r="T491" s="89">
        <f t="shared" si="274"/>
        <v>49.257149462912395</v>
      </c>
      <c r="U491" s="89">
        <f t="shared" si="274"/>
        <v>20.99241743673478</v>
      </c>
      <c r="V491" s="89">
        <f>SUM(V486:V490)</f>
        <v>0</v>
      </c>
      <c r="W491" s="89">
        <f>SUM(W486:W490)</f>
        <v>0</v>
      </c>
      <c r="X491" s="91">
        <f t="shared" si="271"/>
        <v>1714503.911282704</v>
      </c>
      <c r="Y491" s="87" t="str">
        <f t="shared" si="272"/>
        <v>ok</v>
      </c>
      <c r="Z491" s="91" t="str">
        <f t="shared" si="273"/>
        <v/>
      </c>
    </row>
    <row r="492" spans="1:26" ht="12" customHeight="1" x14ac:dyDescent="0.5">
      <c r="F492" s="90"/>
    </row>
    <row r="493" spans="1:26" ht="12" customHeight="1" x14ac:dyDescent="0.5">
      <c r="A493" s="23" t="s">
        <v>791</v>
      </c>
      <c r="F493" s="90"/>
    </row>
    <row r="494" spans="1:26" ht="12" customHeight="1" x14ac:dyDescent="0.5">
      <c r="A494" s="96" t="s">
        <v>389</v>
      </c>
      <c r="C494" s="86" t="s">
        <v>1686</v>
      </c>
      <c r="D494" s="86" t="s">
        <v>1733</v>
      </c>
      <c r="E494" s="86" t="s">
        <v>2178</v>
      </c>
      <c r="F494" s="89">
        <f>VLOOKUP(C494,'WSS-26'!$C$1:$AU$617,24,)</f>
        <v>261493.18000603822</v>
      </c>
      <c r="G494" s="89">
        <f t="shared" ref="G494:P495" si="276">IF(VLOOKUP($E494,$D$5:$W$977,3,)=0,0,(VLOOKUP($E494,$D$5:$W$977,G$1,)/VLOOKUP($E494,$D$5:$W$977,3,))*$F494)</f>
        <v>178245.58452626254</v>
      </c>
      <c r="H494" s="89">
        <f t="shared" si="276"/>
        <v>535.99858673738743</v>
      </c>
      <c r="I494" s="89">
        <f t="shared" si="276"/>
        <v>33328.441642148151</v>
      </c>
      <c r="J494" s="89">
        <f t="shared" si="276"/>
        <v>2415.8212693519408</v>
      </c>
      <c r="K494" s="89">
        <f t="shared" si="276"/>
        <v>24623.874756382746</v>
      </c>
      <c r="L494" s="89">
        <f t="shared" si="276"/>
        <v>0</v>
      </c>
      <c r="M494" s="89">
        <f t="shared" si="276"/>
        <v>21015.168000229503</v>
      </c>
      <c r="N494" s="89">
        <f t="shared" si="276"/>
        <v>0</v>
      </c>
      <c r="O494" s="89">
        <f t="shared" si="276"/>
        <v>0</v>
      </c>
      <c r="P494" s="89">
        <f t="shared" si="276"/>
        <v>0</v>
      </c>
      <c r="Q494" s="89">
        <f t="shared" ref="Q494:W495" si="277">IF(VLOOKUP($E494,$D$5:$W$977,3,)=0,0,(VLOOKUP($E494,$D$5:$W$977,Q$1,)/VLOOKUP($E494,$D$5:$W$977,3,))*$F494)</f>
        <v>1241.6512724185395</v>
      </c>
      <c r="R494" s="89">
        <f t="shared" si="277"/>
        <v>45.175095250041991</v>
      </c>
      <c r="S494" s="89">
        <f t="shared" si="277"/>
        <v>12.171274055039129</v>
      </c>
      <c r="T494" s="89">
        <f t="shared" si="277"/>
        <v>29.186635514089097</v>
      </c>
      <c r="U494" s="89">
        <f t="shared" si="277"/>
        <v>0.10694768820333468</v>
      </c>
      <c r="V494" s="89">
        <f t="shared" si="277"/>
        <v>0</v>
      </c>
      <c r="W494" s="89">
        <f t="shared" si="277"/>
        <v>0</v>
      </c>
      <c r="X494" s="91">
        <f>SUM(G494:W494)</f>
        <v>261493.18000603816</v>
      </c>
      <c r="Y494" s="87" t="str">
        <f>IF(ABS(F494-X494)&lt;0.01,"ok","err")</f>
        <v>ok</v>
      </c>
      <c r="Z494" s="203" t="str">
        <f>IF(Y494="err",X494-F494,"")</f>
        <v/>
      </c>
    </row>
    <row r="495" spans="1:26" ht="12" customHeight="1" x14ac:dyDescent="0.5">
      <c r="A495" s="96" t="s">
        <v>392</v>
      </c>
      <c r="C495" s="86" t="s">
        <v>1686</v>
      </c>
      <c r="D495" s="86" t="s">
        <v>1734</v>
      </c>
      <c r="E495" s="86" t="s">
        <v>2177</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1469</v>
      </c>
      <c r="D496" s="86" t="s">
        <v>1735</v>
      </c>
      <c r="F496" s="89">
        <f t="shared" ref="F496:U496" si="278">F494+F495</f>
        <v>478748.7746280526</v>
      </c>
      <c r="G496" s="89">
        <f t="shared" si="278"/>
        <v>352661.01334881579</v>
      </c>
      <c r="H496" s="89">
        <f t="shared" ref="H496" si="279">H494+H495</f>
        <v>791.0888909723576</v>
      </c>
      <c r="I496" s="89">
        <f t="shared" si="278"/>
        <v>66017.908740890824</v>
      </c>
      <c r="J496" s="89">
        <f>J494+J495</f>
        <v>2583.2489612956365</v>
      </c>
      <c r="K496" s="89">
        <f>K494+K495</f>
        <v>26377.52187884018</v>
      </c>
      <c r="L496" s="89">
        <f>L494+L495</f>
        <v>0</v>
      </c>
      <c r="M496" s="89">
        <f t="shared" si="278"/>
        <v>21317.643500297596</v>
      </c>
      <c r="N496" s="89">
        <f t="shared" si="278"/>
        <v>0</v>
      </c>
      <c r="O496" s="89">
        <f t="shared" si="278"/>
        <v>0</v>
      </c>
      <c r="P496" s="89">
        <f t="shared" si="278"/>
        <v>0</v>
      </c>
      <c r="Q496" s="89">
        <f>Q494+Q495</f>
        <v>8845.0008204748119</v>
      </c>
      <c r="R496" s="89">
        <f t="shared" si="278"/>
        <v>49.913614833354131</v>
      </c>
      <c r="S496" s="89">
        <f t="shared" si="278"/>
        <v>70.613015582555519</v>
      </c>
      <c r="T496" s="89">
        <f t="shared" si="278"/>
        <v>30.766142041859812</v>
      </c>
      <c r="U496" s="89">
        <f t="shared" si="278"/>
        <v>4.0557140076301179</v>
      </c>
      <c r="V496" s="89">
        <f>V494+V495</f>
        <v>0</v>
      </c>
      <c r="W496" s="89">
        <f>W494+W495</f>
        <v>0</v>
      </c>
      <c r="X496" s="91">
        <f>SUM(G496:W496)</f>
        <v>478748.77462805266</v>
      </c>
      <c r="Y496" s="87" t="str">
        <f>IF(ABS(F496-X496)&lt;0.01,"ok","err")</f>
        <v>ok</v>
      </c>
      <c r="Z496" s="91" t="str">
        <f>IF(Y496="err",X496-F496,"")</f>
        <v/>
      </c>
    </row>
    <row r="497" spans="1:26" ht="12" customHeight="1" x14ac:dyDescent="0.5">
      <c r="F497" s="90"/>
    </row>
    <row r="498" spans="1:26" ht="12" customHeight="1" x14ac:dyDescent="0.5">
      <c r="A498" s="23" t="s">
        <v>128</v>
      </c>
      <c r="F498" s="90"/>
    </row>
    <row r="499" spans="1:26" ht="12" customHeight="1" x14ac:dyDescent="0.5">
      <c r="A499" s="96" t="s">
        <v>392</v>
      </c>
      <c r="C499" s="86" t="s">
        <v>1686</v>
      </c>
      <c r="D499" s="86" t="s">
        <v>1736</v>
      </c>
      <c r="E499" s="86" t="s">
        <v>393</v>
      </c>
      <c r="F499" s="89">
        <f>VLOOKUP(C499,'WSS-26'!$C$1:$AU$617,26,)</f>
        <v>183174.09028420402</v>
      </c>
      <c r="G499" s="89">
        <f t="shared" ref="G499:W499" si="280">IF(VLOOKUP($E499,$D$5:$W$977,3,)=0,0,(VLOOKUP($E499,$D$5:$W$977,G$1,)/VLOOKUP($E499,$D$5:$W$977,3,))*$F499)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F500" s="90"/>
    </row>
    <row r="501" spans="1:26" ht="12" customHeight="1" x14ac:dyDescent="0.5">
      <c r="A501" s="23" t="s">
        <v>127</v>
      </c>
      <c r="F501" s="90"/>
    </row>
    <row r="502" spans="1:26" ht="12" customHeight="1" x14ac:dyDescent="0.5">
      <c r="A502" s="96" t="s">
        <v>392</v>
      </c>
      <c r="C502" s="86" t="s">
        <v>1686</v>
      </c>
      <c r="D502" s="86" t="s">
        <v>1737</v>
      </c>
      <c r="E502" s="86" t="s">
        <v>394</v>
      </c>
      <c r="F502" s="89">
        <f>VLOOKUP(C502,'WSS-26'!$C$1:$AU$617,27,)</f>
        <v>108940.73891384155</v>
      </c>
      <c r="G502" s="89">
        <f t="shared" ref="G502:W502" si="281">IF(VLOOKUP($E502,$D$5:$W$977,3,)=0,0,(VLOOKUP($E502,$D$5:$W$977,G$1,)/VLOOKUP($E502,$D$5:$W$977,3,))*$F502)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F503" s="90"/>
    </row>
    <row r="504" spans="1:26" ht="12" customHeight="1" x14ac:dyDescent="0.5">
      <c r="A504" s="23" t="s">
        <v>144</v>
      </c>
      <c r="F504" s="90"/>
    </row>
    <row r="505" spans="1:26" ht="12" customHeight="1" x14ac:dyDescent="0.5">
      <c r="A505" s="96" t="s">
        <v>392</v>
      </c>
      <c r="C505" s="86" t="s">
        <v>1686</v>
      </c>
      <c r="D505" s="86" t="s">
        <v>1738</v>
      </c>
      <c r="E505" s="86" t="s">
        <v>395</v>
      </c>
      <c r="F505" s="89">
        <f>VLOOKUP(C505,'WSS-26'!$C$1:$AU$617,28,)</f>
        <v>209772.10459009689</v>
      </c>
      <c r="G505" s="89">
        <f t="shared" ref="G505:W505" si="282">IF(VLOOKUP($E505,$D$5:$W$977,3,)=0,0,(VLOOKUP($E505,$D$5:$W$977,G$1,)/VLOOKUP($E505,$D$5:$W$977,3,))*$F505)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F506" s="90"/>
    </row>
    <row r="507" spans="1:26" ht="12" customHeight="1" x14ac:dyDescent="0.5">
      <c r="A507" s="23" t="s">
        <v>292</v>
      </c>
      <c r="F507" s="90"/>
    </row>
    <row r="508" spans="1:26" ht="12" customHeight="1" x14ac:dyDescent="0.5">
      <c r="A508" s="96" t="s">
        <v>392</v>
      </c>
      <c r="C508" s="86" t="s">
        <v>1686</v>
      </c>
      <c r="D508" s="86" t="s">
        <v>1739</v>
      </c>
      <c r="E508" s="86" t="s">
        <v>396</v>
      </c>
      <c r="F508" s="89">
        <f>VLOOKUP(C508,'WSS-26'!$C$1:$AU$617,30,)</f>
        <v>0</v>
      </c>
      <c r="G508" s="89">
        <f t="shared" ref="G508:W508" si="283">IF(VLOOKUP($E508,$D$5:$W$977,3,)=0,0,(VLOOKUP($E508,$D$5:$W$977,G$1,)/VLOOKUP($E508,$D$5:$W$977,3,))*$F508)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F509" s="90"/>
    </row>
    <row r="510" spans="1:26" ht="12" customHeight="1" x14ac:dyDescent="0.5">
      <c r="A510" s="23" t="s">
        <v>1631</v>
      </c>
      <c r="F510" s="90"/>
    </row>
    <row r="511" spans="1:26" ht="12" customHeight="1" x14ac:dyDescent="0.5">
      <c r="A511" s="96" t="s">
        <v>392</v>
      </c>
      <c r="C511" s="86" t="s">
        <v>1686</v>
      </c>
      <c r="D511" s="86" t="s">
        <v>1740</v>
      </c>
      <c r="E511" s="86" t="s">
        <v>396</v>
      </c>
      <c r="F511" s="89">
        <f>VLOOKUP(C511,'WSS-26'!$C$1:$AU$617,32,)</f>
        <v>0</v>
      </c>
      <c r="G511" s="89">
        <f t="shared" ref="G511:W511" si="284">IF(VLOOKUP($E511,$D$5:$W$977,3,)=0,0,(VLOOKUP($E511,$D$5:$W$977,G$1,)/VLOOKUP($E511,$D$5:$W$977,3,))*$F511)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F512" s="90"/>
    </row>
    <row r="513" spans="1:26" ht="12" customHeight="1" x14ac:dyDescent="0.5">
      <c r="A513" s="23" t="s">
        <v>1630</v>
      </c>
      <c r="F513" s="90"/>
    </row>
    <row r="514" spans="1:26" ht="12" customHeight="1" x14ac:dyDescent="0.5">
      <c r="A514" s="96" t="s">
        <v>392</v>
      </c>
      <c r="C514" s="86" t="s">
        <v>1686</v>
      </c>
      <c r="D514" s="86" t="s">
        <v>1741</v>
      </c>
      <c r="E514" s="86" t="s">
        <v>397</v>
      </c>
      <c r="F514" s="89">
        <f>VLOOKUP(C514,'WSS-26'!$C$1:$AU$617,34,)</f>
        <v>0</v>
      </c>
      <c r="G514" s="89">
        <f t="shared" ref="G514:W514" si="285">IF(VLOOKUP($E514,$D$5:$W$977,3,)=0,0,(VLOOKUP($E514,$D$5:$W$977,G$1,)/VLOOKUP($E514,$D$5:$W$977,3,))*$F514)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F515" s="90"/>
    </row>
    <row r="516" spans="1:26" ht="12" customHeight="1" x14ac:dyDescent="0.5">
      <c r="A516" s="86" t="s">
        <v>62</v>
      </c>
      <c r="D516" s="86" t="s">
        <v>410</v>
      </c>
      <c r="F516" s="89">
        <f>F471+F477+F480+F483+F491+F496+F499+F502+F505+F508+F511+F514</f>
        <v>13649179.000000002</v>
      </c>
      <c r="G516" s="89">
        <f t="shared" ref="G516:U516" si="286">G471+G477+G480+G483+G491+G496+G499+G502+G505+G508+G511+G514</f>
        <v>6402079.5616167597</v>
      </c>
      <c r="H516" s="89">
        <f t="shared" ref="H516" si="287">H471+H477+H480+H483+H491+H496+H499+H502+H505+H508+H511+H514</f>
        <v>10587.661293255509</v>
      </c>
      <c r="I516" s="89">
        <f t="shared" si="286"/>
        <v>1596333.7562891166</v>
      </c>
      <c r="J516" s="89">
        <f>J471+J477+J480+J483+J491+J496+J499+J502+J505+J508+J511+J514</f>
        <v>100639.65980344567</v>
      </c>
      <c r="K516" s="89">
        <f>K471+K477+K480+K483+K491+K496+K499+K502+K505+K508+K511+K514</f>
        <v>1221360.7571964639</v>
      </c>
      <c r="L516" s="89">
        <f>L471+L477+L480+L483+L491+L496+L499+L502+L505+L508+L511+L514</f>
        <v>52743.54620953383</v>
      </c>
      <c r="M516" s="89">
        <f t="shared" si="286"/>
        <v>1131135.2016822752</v>
      </c>
      <c r="N516" s="89">
        <f t="shared" si="286"/>
        <v>1974109.3468315867</v>
      </c>
      <c r="O516" s="89">
        <f t="shared" si="286"/>
        <v>602374.87348445598</v>
      </c>
      <c r="P516" s="89">
        <f>P471+P477+P480+P483+P491+P496+P499+P502+P505+P508+P511+P514</f>
        <v>274117.54145607934</v>
      </c>
      <c r="Q516" s="89">
        <f>Q471+Q477+Q480+Q483+Q491+Q496+Q499+Q502+Q505+Q508+Q511+Q514</f>
        <v>280741.74712379649</v>
      </c>
      <c r="R516" s="89">
        <f t="shared" si="286"/>
        <v>904.55814957162227</v>
      </c>
      <c r="S516" s="89">
        <f t="shared" si="286"/>
        <v>1587.2699283624884</v>
      </c>
      <c r="T516" s="89">
        <f t="shared" si="286"/>
        <v>429.98095804109914</v>
      </c>
      <c r="U516" s="89">
        <f t="shared" si="286"/>
        <v>33.537977254663453</v>
      </c>
      <c r="V516" s="89">
        <f>V471+V477+V480+V483+V491+V496+V499+V502+V505+V508+V511+V514</f>
        <v>0</v>
      </c>
      <c r="W516" s="89">
        <f>W471+W477+W480+W483+W491+W496+W499+W502+W505+W508+W511+W514</f>
        <v>0</v>
      </c>
      <c r="X516" s="91">
        <f>SUM(G516:W516)</f>
        <v>13649179</v>
      </c>
      <c r="Y516" s="87" t="str">
        <f>IF(ABS(F516-X516)&lt;0.01,"ok","err")</f>
        <v>ok</v>
      </c>
      <c r="Z516" s="91" t="str">
        <f>IF(Y516="err",X516-F516,"")</f>
        <v/>
      </c>
    </row>
    <row r="517" spans="1:26" ht="12" customHeight="1" x14ac:dyDescent="0.5">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706</v>
      </c>
    </row>
    <row r="522" spans="1:26" ht="12" customHeight="1" x14ac:dyDescent="0.5">
      <c r="A522" s="23" t="s">
        <v>137</v>
      </c>
    </row>
    <row r="523" spans="1:26" ht="12" customHeight="1" x14ac:dyDescent="0.5">
      <c r="A523" s="96" t="s">
        <v>2274</v>
      </c>
      <c r="C523" s="86" t="s">
        <v>900</v>
      </c>
      <c r="D523" s="86" t="s">
        <v>1715</v>
      </c>
      <c r="E523" s="86" t="s">
        <v>2273</v>
      </c>
      <c r="F523" s="89">
        <f>VLOOKUP(C523,'WSS-26'!$C$1:$AU$617,6,)</f>
        <v>0</v>
      </c>
      <c r="G523" s="89">
        <f t="shared" ref="G523:P528" si="288">IF(VLOOKUP($E523,$D$5:$W$977,3,)=0,0,(VLOOKUP($E523,$D$5:$W$977,G$1,)/VLOOKUP($E523,$D$5:$W$977,3,))*$F523)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IF(VLOOKUP($E523,$D$5:$W$977,3,)=0,0,(VLOOKUP($E523,$D$5:$W$977,Q$1,)/VLOOKUP($E523,$D$5:$W$977,3,))*$F523)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2275</v>
      </c>
      <c r="C524" s="86" t="s">
        <v>900</v>
      </c>
      <c r="D524" s="86" t="s">
        <v>1716</v>
      </c>
      <c r="E524" s="86" t="s">
        <v>2273</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2275</v>
      </c>
      <c r="C525" s="86" t="s">
        <v>900</v>
      </c>
      <c r="D525" s="86" t="s">
        <v>1717</v>
      </c>
      <c r="E525" s="86" t="s">
        <v>2273</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2277</v>
      </c>
      <c r="C526" s="86" t="s">
        <v>900</v>
      </c>
      <c r="D526" s="86" t="s">
        <v>1718</v>
      </c>
      <c r="E526" s="86"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2276</v>
      </c>
      <c r="C527" s="86" t="s">
        <v>900</v>
      </c>
      <c r="D527" s="86" t="s">
        <v>1719</v>
      </c>
      <c r="E527" s="86"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2276</v>
      </c>
      <c r="C528" s="86" t="s">
        <v>900</v>
      </c>
      <c r="D528" s="86" t="s">
        <v>1720</v>
      </c>
      <c r="E528" s="86"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86" t="s">
        <v>409</v>
      </c>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F530" s="90"/>
      <c r="G530" s="90"/>
      <c r="H530" s="90"/>
    </row>
    <row r="531" spans="1:26" ht="12" customHeight="1" x14ac:dyDescent="0.5">
      <c r="A531" s="23" t="s">
        <v>441</v>
      </c>
      <c r="F531" s="90"/>
      <c r="G531" s="90"/>
      <c r="H531" s="90"/>
    </row>
    <row r="532" spans="1:26" ht="12" customHeight="1" x14ac:dyDescent="0.5">
      <c r="A532" s="96" t="s">
        <v>2248</v>
      </c>
      <c r="C532" s="86" t="s">
        <v>900</v>
      </c>
      <c r="D532" s="86" t="s">
        <v>1721</v>
      </c>
      <c r="E532" s="86" t="s">
        <v>2249</v>
      </c>
      <c r="F532" s="89">
        <f>VLOOKUP(C532,'WSS-26'!$C$1:$AU$617,13,)</f>
        <v>0</v>
      </c>
      <c r="G532" s="89">
        <f t="shared" ref="G532:P534" si="295">IF(VLOOKUP($E532,$D$5:$W$977,3,)=0,0,(VLOOKUP($E532,$D$5:$W$977,G$1,)/VLOOKUP($E532,$D$5:$W$977,3,))*$F532)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IF(VLOOKUP($E532,$D$5:$W$977,3,)=0,0,(VLOOKUP($E532,$D$5:$W$977,Q$1,)/VLOOKUP($E532,$D$5:$W$977,3,))*$F532)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2247</v>
      </c>
      <c r="C533" s="86" t="s">
        <v>900</v>
      </c>
      <c r="D533" s="86" t="s">
        <v>1722</v>
      </c>
      <c r="E533" s="86" t="s">
        <v>2249</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2247</v>
      </c>
      <c r="C534" s="86" t="s">
        <v>900</v>
      </c>
      <c r="D534" s="86" t="s">
        <v>1723</v>
      </c>
      <c r="E534" s="86" t="s">
        <v>2249</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86" t="s">
        <v>1724</v>
      </c>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F536" s="90"/>
      <c r="G536" s="90"/>
      <c r="H536" s="90"/>
    </row>
    <row r="537" spans="1:26" ht="12" customHeight="1" x14ac:dyDescent="0.5">
      <c r="A537" s="23" t="s">
        <v>1628</v>
      </c>
      <c r="F537" s="90"/>
      <c r="G537" s="90"/>
      <c r="H537" s="90"/>
    </row>
    <row r="538" spans="1:26" ht="12" customHeight="1" x14ac:dyDescent="0.5">
      <c r="A538" s="96" t="s">
        <v>145</v>
      </c>
      <c r="C538" s="86" t="s">
        <v>900</v>
      </c>
      <c r="D538" s="86" t="s">
        <v>1725</v>
      </c>
      <c r="E538" s="86" t="s">
        <v>2253</v>
      </c>
      <c r="F538" s="89">
        <f>VLOOKUP(C538,'WSS-26'!$C$1:$AU$617,17,)</f>
        <v>0</v>
      </c>
      <c r="G538" s="89">
        <f t="shared" ref="G538:W538" si="299">IF(VLOOKUP($E538,$D$5:$W$977,3,)=0,0,(VLOOKUP($E538,$D$5:$W$977,G$1,)/VLOOKUP($E538,$D$5:$W$977,3,))*$F538)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F539" s="90"/>
    </row>
    <row r="540" spans="1:26" ht="12" customHeight="1" x14ac:dyDescent="0.5">
      <c r="A540" s="23" t="s">
        <v>1629</v>
      </c>
      <c r="F540" s="90"/>
      <c r="G540" s="90"/>
      <c r="H540" s="90"/>
    </row>
    <row r="541" spans="1:26" ht="12" customHeight="1" x14ac:dyDescent="0.5">
      <c r="A541" s="96" t="s">
        <v>147</v>
      </c>
      <c r="C541" s="86" t="s">
        <v>900</v>
      </c>
      <c r="D541" s="86" t="s">
        <v>1726</v>
      </c>
      <c r="E541" s="86" t="s">
        <v>2253</v>
      </c>
      <c r="F541" s="89">
        <f>VLOOKUP(C541,'WSS-26'!$C$1:$AU$617,18,)</f>
        <v>0</v>
      </c>
      <c r="G541" s="89">
        <f t="shared" ref="G541:W541" si="300">IF(VLOOKUP($E541,$D$5:$W$977,3,)=0,0,(VLOOKUP($E541,$D$5:$W$977,G$1,)/VLOOKUP($E541,$D$5:$W$977,3,))*$F541)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F542" s="90"/>
    </row>
    <row r="543" spans="1:26" ht="12" customHeight="1" x14ac:dyDescent="0.5">
      <c r="A543" s="23" t="s">
        <v>146</v>
      </c>
      <c r="F543" s="90"/>
    </row>
    <row r="544" spans="1:26" ht="12" customHeight="1" x14ac:dyDescent="0.5">
      <c r="A544" s="96" t="s">
        <v>792</v>
      </c>
      <c r="C544" s="86" t="s">
        <v>900</v>
      </c>
      <c r="D544" s="86" t="s">
        <v>1727</v>
      </c>
      <c r="E544" s="86" t="s">
        <v>2253</v>
      </c>
      <c r="F544" s="89">
        <f>VLOOKUP(C544,'WSS-26'!$C$1:$AU$617,19,)</f>
        <v>0</v>
      </c>
      <c r="G544" s="89">
        <f t="shared" ref="G544:P548" si="301">IF(VLOOKUP($E544,$D$5:$W$977,3,)=0,0,(VLOOKUP($E544,$D$5:$W$977,G$1,)/VLOOKUP($E544,$D$5:$W$977,3,))*$F544)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IF(VLOOKUP($E544,$D$5:$W$977,3,)=0,0,(VLOOKUP($E544,$D$5:$W$977,Q$1,)/VLOOKUP($E544,$D$5:$W$977,3,))*$F544)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793</v>
      </c>
      <c r="C545" s="86" t="s">
        <v>900</v>
      </c>
      <c r="D545" s="86" t="s">
        <v>1728</v>
      </c>
      <c r="E545" s="86" t="s">
        <v>2253</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794</v>
      </c>
      <c r="C546" s="86" t="s">
        <v>900</v>
      </c>
      <c r="D546" s="86" t="s">
        <v>1729</v>
      </c>
      <c r="E546" s="86" t="s">
        <v>905</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795</v>
      </c>
      <c r="C547" s="86" t="s">
        <v>900</v>
      </c>
      <c r="D547" s="86" t="s">
        <v>1730</v>
      </c>
      <c r="E547" s="86" t="s">
        <v>734</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796</v>
      </c>
      <c r="C548" s="86" t="s">
        <v>900</v>
      </c>
      <c r="D548" s="86" t="s">
        <v>1731</v>
      </c>
      <c r="E548" s="86" t="s">
        <v>904</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86" t="s">
        <v>1732</v>
      </c>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F550" s="90"/>
    </row>
    <row r="551" spans="1:26" ht="12" customHeight="1" x14ac:dyDescent="0.5">
      <c r="A551" s="23" t="s">
        <v>791</v>
      </c>
      <c r="F551" s="90"/>
    </row>
    <row r="552" spans="1:26" ht="12" customHeight="1" x14ac:dyDescent="0.5">
      <c r="A552" s="96" t="s">
        <v>389</v>
      </c>
      <c r="C552" s="86" t="s">
        <v>900</v>
      </c>
      <c r="D552" s="86" t="s">
        <v>1733</v>
      </c>
      <c r="E552" s="86" t="s">
        <v>2178</v>
      </c>
      <c r="F552" s="89">
        <f>VLOOKUP(C552,'WSS-26'!$C$1:$AU$617,24,)</f>
        <v>0</v>
      </c>
      <c r="G552" s="89">
        <f t="shared" ref="G552:P553" si="308">IF(VLOOKUP($E552,$D$5:$W$977,3,)=0,0,(VLOOKUP($E552,$D$5:$W$977,G$1,)/VLOOKUP($E552,$D$5:$W$977,3,))*$F552)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IF(VLOOKUP($E552,$D$5:$W$977,3,)=0,0,(VLOOKUP($E552,$D$5:$W$977,Q$1,)/VLOOKUP($E552,$D$5:$W$977,3,))*$F552)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900</v>
      </c>
      <c r="D553" s="86" t="s">
        <v>1734</v>
      </c>
      <c r="E553" s="86" t="s">
        <v>2177</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1469</v>
      </c>
      <c r="D554" s="86" t="s">
        <v>1735</v>
      </c>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F555" s="90"/>
    </row>
    <row r="556" spans="1:26" ht="12" customHeight="1" x14ac:dyDescent="0.5">
      <c r="A556" s="23" t="s">
        <v>128</v>
      </c>
      <c r="F556" s="90"/>
    </row>
    <row r="557" spans="1:26" ht="12" customHeight="1" x14ac:dyDescent="0.5">
      <c r="A557" s="96" t="s">
        <v>392</v>
      </c>
      <c r="C557" s="86" t="s">
        <v>900</v>
      </c>
      <c r="D557" s="86" t="s">
        <v>1736</v>
      </c>
      <c r="E557" s="86" t="s">
        <v>393</v>
      </c>
      <c r="F557" s="89">
        <f>VLOOKUP(C557,'WSS-26'!$C$1:$AU$617,26,)</f>
        <v>0</v>
      </c>
      <c r="G557" s="89">
        <f t="shared" ref="G557:W557" si="312">IF(VLOOKUP($E557,$D$5:$W$977,3,)=0,0,(VLOOKUP($E557,$D$5:$W$977,G$1,)/VLOOKUP($E557,$D$5:$W$977,3,))*$F557)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F558" s="90"/>
    </row>
    <row r="559" spans="1:26" ht="12" customHeight="1" x14ac:dyDescent="0.5">
      <c r="A559" s="23" t="s">
        <v>127</v>
      </c>
      <c r="F559" s="90"/>
    </row>
    <row r="560" spans="1:26" ht="12" customHeight="1" x14ac:dyDescent="0.5">
      <c r="A560" s="96" t="s">
        <v>392</v>
      </c>
      <c r="C560" s="86" t="s">
        <v>900</v>
      </c>
      <c r="D560" s="86" t="s">
        <v>1737</v>
      </c>
      <c r="E560" s="86" t="s">
        <v>394</v>
      </c>
      <c r="F560" s="89">
        <f>VLOOKUP(C560,'WSS-26'!$C$1:$AU$617,27,)</f>
        <v>0</v>
      </c>
      <c r="G560" s="89">
        <f t="shared" ref="G560:W560" si="313">IF(VLOOKUP($E560,$D$5:$W$977,3,)=0,0,(VLOOKUP($E560,$D$5:$W$977,G$1,)/VLOOKUP($E560,$D$5:$W$977,3,))*$F560)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F561" s="90"/>
    </row>
    <row r="562" spans="1:26" ht="12" customHeight="1" x14ac:dyDescent="0.5">
      <c r="A562" s="23" t="s">
        <v>144</v>
      </c>
      <c r="F562" s="90"/>
    </row>
    <row r="563" spans="1:26" ht="12" customHeight="1" x14ac:dyDescent="0.5">
      <c r="A563" s="96" t="s">
        <v>392</v>
      </c>
      <c r="C563" s="86" t="s">
        <v>900</v>
      </c>
      <c r="D563" s="86" t="s">
        <v>1738</v>
      </c>
      <c r="E563" s="86" t="s">
        <v>395</v>
      </c>
      <c r="F563" s="89">
        <f>VLOOKUP(C563,'WSS-26'!$C$1:$AU$617,28,)</f>
        <v>0</v>
      </c>
      <c r="G563" s="89">
        <f t="shared" ref="G563:W563" si="314">IF(VLOOKUP($E563,$D$5:$W$977,3,)=0,0,(VLOOKUP($E563,$D$5:$W$977,G$1,)/VLOOKUP($E563,$D$5:$W$977,3,))*$F563)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F564" s="90"/>
    </row>
    <row r="565" spans="1:26" ht="12" customHeight="1" x14ac:dyDescent="0.5">
      <c r="A565" s="23" t="s">
        <v>292</v>
      </c>
      <c r="F565" s="90"/>
    </row>
    <row r="566" spans="1:26" ht="12" customHeight="1" x14ac:dyDescent="0.5">
      <c r="A566" s="96" t="s">
        <v>392</v>
      </c>
      <c r="C566" s="86" t="s">
        <v>900</v>
      </c>
      <c r="D566" s="86" t="s">
        <v>1739</v>
      </c>
      <c r="E566" s="86" t="s">
        <v>396</v>
      </c>
      <c r="F566" s="89">
        <f>VLOOKUP(C566,'WSS-26'!$C$1:$AU$617,30,)</f>
        <v>0</v>
      </c>
      <c r="G566" s="89">
        <f t="shared" ref="G566:W566" si="315">IF(VLOOKUP($E566,$D$5:$W$977,3,)=0,0,(VLOOKUP($E566,$D$5:$W$977,G$1,)/VLOOKUP($E566,$D$5:$W$977,3,))*$F566)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F567" s="90"/>
    </row>
    <row r="568" spans="1:26" ht="12" customHeight="1" x14ac:dyDescent="0.5">
      <c r="A568" s="23" t="s">
        <v>1631</v>
      </c>
      <c r="F568" s="90"/>
    </row>
    <row r="569" spans="1:26" ht="12" customHeight="1" x14ac:dyDescent="0.5">
      <c r="A569" s="96" t="s">
        <v>392</v>
      </c>
      <c r="C569" s="86" t="s">
        <v>900</v>
      </c>
      <c r="D569" s="86" t="s">
        <v>1740</v>
      </c>
      <c r="E569" s="86" t="s">
        <v>396</v>
      </c>
      <c r="F569" s="89">
        <f>VLOOKUP(C569,'WSS-26'!$C$1:$AU$617,32,)</f>
        <v>0</v>
      </c>
      <c r="G569" s="89">
        <f t="shared" ref="G569:W569" si="316">IF(VLOOKUP($E569,$D$5:$W$977,3,)=0,0,(VLOOKUP($E569,$D$5:$W$977,G$1,)/VLOOKUP($E569,$D$5:$W$977,3,))*$F569)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F570" s="90"/>
    </row>
    <row r="571" spans="1:26" ht="12" customHeight="1" x14ac:dyDescent="0.5">
      <c r="A571" s="23" t="s">
        <v>1630</v>
      </c>
      <c r="F571" s="90"/>
    </row>
    <row r="572" spans="1:26" ht="12" customHeight="1" x14ac:dyDescent="0.5">
      <c r="A572" s="96" t="s">
        <v>392</v>
      </c>
      <c r="C572" s="86" t="s">
        <v>900</v>
      </c>
      <c r="D572" s="86" t="s">
        <v>1741</v>
      </c>
      <c r="E572" s="86" t="s">
        <v>397</v>
      </c>
      <c r="F572" s="89">
        <f>VLOOKUP(C572,'WSS-26'!$C$1:$AU$617,34,)</f>
        <v>0</v>
      </c>
      <c r="G572" s="89">
        <f t="shared" ref="G572:W572" si="317">IF(VLOOKUP($E572,$D$5:$W$977,3,)=0,0,(VLOOKUP($E572,$D$5:$W$977,G$1,)/VLOOKUP($E572,$D$5:$W$977,3,))*$F572)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F573" s="90"/>
    </row>
    <row r="574" spans="1:26" ht="12" customHeight="1" x14ac:dyDescent="0.5">
      <c r="A574" s="86" t="s">
        <v>62</v>
      </c>
      <c r="D574" s="86" t="s">
        <v>410</v>
      </c>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1135</v>
      </c>
    </row>
    <row r="584" spans="1:26" ht="12" customHeight="1" x14ac:dyDescent="0.5">
      <c r="A584" s="23" t="s">
        <v>137</v>
      </c>
    </row>
    <row r="585" spans="1:26" ht="12" customHeight="1" x14ac:dyDescent="0.5">
      <c r="A585" s="96" t="s">
        <v>2274</v>
      </c>
      <c r="C585" s="86" t="s">
        <v>376</v>
      </c>
      <c r="D585" s="86" t="s">
        <v>1136</v>
      </c>
      <c r="E585" s="86" t="s">
        <v>2273</v>
      </c>
      <c r="F585" s="89">
        <f>VLOOKUP(C585,'WSS-26'!$C$1:$AU$617,6,)</f>
        <v>68341836.106964022</v>
      </c>
      <c r="G585" s="89">
        <f t="shared" ref="G585:P590" si="320">IF(VLOOKUP($E585,$D$5:$W$977,3,)=0,0,(VLOOKUP($E585,$D$5:$W$977,G$1,)/VLOOKUP($E585,$D$5:$W$977,3,))*$F585)</f>
        <v>28018373.485886611</v>
      </c>
      <c r="H585" s="89">
        <f t="shared" si="320"/>
        <v>28614.029197397227</v>
      </c>
      <c r="I585" s="89">
        <f t="shared" si="320"/>
        <v>7554268.8743704185</v>
      </c>
      <c r="J585" s="89">
        <f t="shared" si="320"/>
        <v>484736.79828335741</v>
      </c>
      <c r="K585" s="89">
        <f t="shared" si="320"/>
        <v>7044658.1102027847</v>
      </c>
      <c r="L585" s="89">
        <f t="shared" si="320"/>
        <v>306056.45109525771</v>
      </c>
      <c r="M585" s="89">
        <f t="shared" si="320"/>
        <v>6775034.3194376919</v>
      </c>
      <c r="N585" s="89">
        <f t="shared" si="320"/>
        <v>12402450.138009746</v>
      </c>
      <c r="O585" s="89">
        <f t="shared" si="320"/>
        <v>4037184.2261401461</v>
      </c>
      <c r="P585" s="89">
        <f t="shared" si="320"/>
        <v>1671792.4333129814</v>
      </c>
      <c r="Q585" s="89">
        <f t="shared" ref="Q585:W590" si="321">IF(VLOOKUP($E585,$D$5:$W$977,3,)=0,0,(VLOOKUP($E585,$D$5:$W$977,Q$1,)/VLOOKUP($E585,$D$5:$W$977,3,))*$F585)</f>
        <v>10896.839790363336</v>
      </c>
      <c r="R585" s="89">
        <f t="shared" si="321"/>
        <v>396.46057342272422</v>
      </c>
      <c r="S585" s="89">
        <f t="shared" si="321"/>
        <v>6483.0345432500553</v>
      </c>
      <c r="T585" s="89">
        <f t="shared" si="321"/>
        <v>834.47752331052618</v>
      </c>
      <c r="U585" s="89">
        <f t="shared" si="321"/>
        <v>56.428597271687927</v>
      </c>
      <c r="V585" s="89">
        <f t="shared" si="321"/>
        <v>0</v>
      </c>
      <c r="W585" s="89">
        <f t="shared" si="321"/>
        <v>0</v>
      </c>
      <c r="X585" s="91">
        <f t="shared" ref="X585:X590" si="322">SUM(G585:W585)</f>
        <v>68341836.106963992</v>
      </c>
      <c r="Y585" s="87" t="str">
        <f t="shared" ref="Y585:Y590" si="323">IF(ABS(F585-X585)&lt;0.01,"ok","err")</f>
        <v>ok</v>
      </c>
      <c r="Z585" s="203" t="str">
        <f t="shared" ref="Z585:Z590" si="324">IF(Y585="err",X585-F585,"")</f>
        <v/>
      </c>
    </row>
    <row r="586" spans="1:26" ht="12" hidden="1" customHeight="1" x14ac:dyDescent="0.5">
      <c r="A586" s="96" t="s">
        <v>2275</v>
      </c>
      <c r="C586" s="86" t="s">
        <v>376</v>
      </c>
      <c r="D586" s="86" t="s">
        <v>1137</v>
      </c>
      <c r="E586" s="86" t="s">
        <v>2273</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2275</v>
      </c>
      <c r="C587" s="86" t="s">
        <v>376</v>
      </c>
      <c r="D587" s="86" t="s">
        <v>1138</v>
      </c>
      <c r="E587" s="86" t="s">
        <v>2273</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2277</v>
      </c>
      <c r="C588" s="86" t="s">
        <v>376</v>
      </c>
      <c r="D588" s="86" t="s">
        <v>1139</v>
      </c>
      <c r="E588" s="86"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2276</v>
      </c>
      <c r="C589" s="86" t="s">
        <v>376</v>
      </c>
      <c r="D589" s="86" t="s">
        <v>1140</v>
      </c>
      <c r="E589" s="86"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2276</v>
      </c>
      <c r="C590" s="86" t="s">
        <v>376</v>
      </c>
      <c r="D590" s="86" t="s">
        <v>1141</v>
      </c>
      <c r="E590" s="86"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86" t="s">
        <v>1142</v>
      </c>
      <c r="F591" s="89">
        <f t="shared" ref="F591:U591" si="325">SUM(F585:F590)</f>
        <v>68341836.106964022</v>
      </c>
      <c r="G591" s="89">
        <f t="shared" si="325"/>
        <v>28018373.485886611</v>
      </c>
      <c r="H591" s="89">
        <f t="shared" ref="H591" si="326">SUM(H585:H590)</f>
        <v>28614.029197397227</v>
      </c>
      <c r="I591" s="89">
        <f t="shared" si="325"/>
        <v>7554268.8743704185</v>
      </c>
      <c r="J591" s="89">
        <f>SUM(J585:J590)</f>
        <v>484736.79828335741</v>
      </c>
      <c r="K591" s="89">
        <f>SUM(K585:K590)</f>
        <v>7044658.1102027847</v>
      </c>
      <c r="L591" s="89">
        <f>SUM(L585:L590)</f>
        <v>306056.45109525771</v>
      </c>
      <c r="M591" s="89">
        <f t="shared" si="325"/>
        <v>6775034.3194376919</v>
      </c>
      <c r="N591" s="89">
        <f t="shared" si="325"/>
        <v>12402450.138009746</v>
      </c>
      <c r="O591" s="89">
        <f t="shared" si="325"/>
        <v>4037184.2261401461</v>
      </c>
      <c r="P591" s="89">
        <f t="shared" si="325"/>
        <v>1671792.4333129814</v>
      </c>
      <c r="Q591" s="89">
        <f>SUM(Q585:Q590)</f>
        <v>10896.839790363336</v>
      </c>
      <c r="R591" s="89">
        <f t="shared" si="325"/>
        <v>396.46057342272422</v>
      </c>
      <c r="S591" s="89">
        <f t="shared" si="325"/>
        <v>6483.0345432500553</v>
      </c>
      <c r="T591" s="89">
        <f t="shared" si="325"/>
        <v>834.47752331052618</v>
      </c>
      <c r="U591" s="89">
        <f t="shared" si="325"/>
        <v>56.428597271687927</v>
      </c>
      <c r="V591" s="89">
        <f>SUM(V585:V590)</f>
        <v>0</v>
      </c>
      <c r="W591" s="89">
        <f>SUM(W585:W590)</f>
        <v>0</v>
      </c>
      <c r="X591" s="91">
        <f>SUM(G591:W591)</f>
        <v>68341836.106963992</v>
      </c>
      <c r="Y591" s="87" t="str">
        <f>IF(ABS(F591-X591)&lt;0.01,"ok","err")</f>
        <v>ok</v>
      </c>
      <c r="Z591" s="203" t="str">
        <f>IF(Y591="err",X591-F591,"")</f>
        <v/>
      </c>
    </row>
    <row r="592" spans="1:26" ht="12" customHeight="1" x14ac:dyDescent="0.5">
      <c r="F592" s="90"/>
      <c r="G592" s="90"/>
      <c r="H592" s="90"/>
    </row>
    <row r="593" spans="1:26" ht="12" customHeight="1" x14ac:dyDescent="0.5">
      <c r="A593" s="23" t="s">
        <v>441</v>
      </c>
      <c r="F593" s="90"/>
      <c r="G593" s="90"/>
      <c r="H593" s="90"/>
    </row>
    <row r="594" spans="1:26" ht="12" customHeight="1" x14ac:dyDescent="0.5">
      <c r="A594" s="96" t="s">
        <v>2248</v>
      </c>
      <c r="C594" s="86" t="s">
        <v>376</v>
      </c>
      <c r="D594" s="86" t="s">
        <v>1143</v>
      </c>
      <c r="E594" s="86" t="s">
        <v>2249</v>
      </c>
      <c r="F594" s="89">
        <f>VLOOKUP(C594,'WSS-26'!$C$1:$AU$617,13,)</f>
        <v>15624866.399741719</v>
      </c>
      <c r="G594" s="89">
        <f t="shared" ref="G594:P596" si="327">IF(VLOOKUP($E594,$D$5:$W$977,3,)=0,0,(VLOOKUP($E594,$D$5:$W$977,G$1,)/VLOOKUP($E594,$D$5:$W$977,3,))*$F594)</f>
        <v>6889606.0048501771</v>
      </c>
      <c r="H594" s="89">
        <f t="shared" si="327"/>
        <v>22134.563989119953</v>
      </c>
      <c r="I594" s="89">
        <f t="shared" si="327"/>
        <v>1772605.4620481918</v>
      </c>
      <c r="J594" s="89">
        <f t="shared" si="327"/>
        <v>181416.05049018617</v>
      </c>
      <c r="K594" s="89">
        <f t="shared" si="327"/>
        <v>1581318.9330297383</v>
      </c>
      <c r="L594" s="89">
        <f t="shared" si="327"/>
        <v>67950.565251286505</v>
      </c>
      <c r="M594" s="89">
        <f t="shared" si="327"/>
        <v>1398937.2928524495</v>
      </c>
      <c r="N594" s="89">
        <f t="shared" si="327"/>
        <v>2278358.0367028448</v>
      </c>
      <c r="O594" s="89">
        <f t="shared" si="327"/>
        <v>790085.3131333983</v>
      </c>
      <c r="P594" s="89">
        <f t="shared" si="327"/>
        <v>529417.76199906925</v>
      </c>
      <c r="Q594" s="89">
        <f t="shared" ref="Q594:W596" si="328">IF(VLOOKUP($E594,$D$5:$W$977,3,)=0,0,(VLOOKUP($E594,$D$5:$W$977,Q$1,)/VLOOKUP($E594,$D$5:$W$977,3,))*$F594)</f>
        <v>106630.56248531988</v>
      </c>
      <c r="R594" s="89">
        <f t="shared" si="328"/>
        <v>3879.5480855562932</v>
      </c>
      <c r="S594" s="89">
        <f t="shared" si="328"/>
        <v>1045.2450116076764</v>
      </c>
      <c r="T594" s="89">
        <f t="shared" si="328"/>
        <v>1471.8753562340262</v>
      </c>
      <c r="U594" s="89">
        <f t="shared" si="328"/>
        <v>9.1844565402113378</v>
      </c>
      <c r="V594" s="89">
        <f t="shared" si="328"/>
        <v>0</v>
      </c>
      <c r="W594" s="89">
        <f t="shared" si="328"/>
        <v>0</v>
      </c>
      <c r="X594" s="91">
        <f>SUM(G594:W594)</f>
        <v>15624866.399741719</v>
      </c>
      <c r="Y594" s="87" t="str">
        <f>IF(ABS(F594-X594)&lt;0.01,"ok","err")</f>
        <v>ok</v>
      </c>
      <c r="Z594" s="203" t="str">
        <f>IF(Y594="err",X594-F594,"")</f>
        <v/>
      </c>
    </row>
    <row r="595" spans="1:26" ht="12" hidden="1" customHeight="1" x14ac:dyDescent="0.5">
      <c r="A595" s="96" t="s">
        <v>2247</v>
      </c>
      <c r="C595" s="86" t="s">
        <v>376</v>
      </c>
      <c r="D595" s="86" t="s">
        <v>1144</v>
      </c>
      <c r="E595" s="86" t="s">
        <v>2249</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2247</v>
      </c>
      <c r="C596" s="86" t="s">
        <v>376</v>
      </c>
      <c r="D596" s="86" t="s">
        <v>1145</v>
      </c>
      <c r="E596" s="86" t="s">
        <v>2249</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86" t="s">
        <v>1146</v>
      </c>
      <c r="F597" s="89">
        <f t="shared" ref="F597:U597" si="329">SUM(F594:F596)</f>
        <v>15624866.399741719</v>
      </c>
      <c r="G597" s="89">
        <f t="shared" si="329"/>
        <v>6889606.0048501771</v>
      </c>
      <c r="H597" s="89">
        <f t="shared" ref="H597" si="330">SUM(H594:H596)</f>
        <v>22134.563989119953</v>
      </c>
      <c r="I597" s="89">
        <f t="shared" si="329"/>
        <v>1772605.4620481918</v>
      </c>
      <c r="J597" s="89">
        <f>SUM(J594:J596)</f>
        <v>181416.05049018617</v>
      </c>
      <c r="K597" s="89">
        <f>SUM(K594:K596)</f>
        <v>1581318.9330297383</v>
      </c>
      <c r="L597" s="89">
        <f>SUM(L594:L596)</f>
        <v>67950.565251286505</v>
      </c>
      <c r="M597" s="89">
        <f t="shared" si="329"/>
        <v>1398937.2928524495</v>
      </c>
      <c r="N597" s="89">
        <f t="shared" si="329"/>
        <v>2278358.0367028448</v>
      </c>
      <c r="O597" s="89">
        <f t="shared" si="329"/>
        <v>790085.3131333983</v>
      </c>
      <c r="P597" s="89">
        <f t="shared" si="329"/>
        <v>529417.76199906925</v>
      </c>
      <c r="Q597" s="89">
        <f>SUM(Q594:Q596)</f>
        <v>106630.56248531988</v>
      </c>
      <c r="R597" s="89">
        <f t="shared" si="329"/>
        <v>3879.5480855562932</v>
      </c>
      <c r="S597" s="89">
        <f t="shared" si="329"/>
        <v>1045.2450116076764</v>
      </c>
      <c r="T597" s="89">
        <f t="shared" si="329"/>
        <v>1471.8753562340262</v>
      </c>
      <c r="U597" s="89">
        <f t="shared" si="329"/>
        <v>9.1844565402113378</v>
      </c>
      <c r="V597" s="89">
        <f>SUM(V594:V596)</f>
        <v>0</v>
      </c>
      <c r="W597" s="89">
        <f>SUM(W594:W596)</f>
        <v>0</v>
      </c>
      <c r="X597" s="91">
        <f>SUM(G597:W597)</f>
        <v>15624866.399741719</v>
      </c>
      <c r="Y597" s="87" t="str">
        <f>IF(ABS(F597-X597)&lt;0.01,"ok","err")</f>
        <v>ok</v>
      </c>
      <c r="Z597" s="91" t="str">
        <f>IF(Y597="err",X597-F597,"")</f>
        <v/>
      </c>
    </row>
    <row r="598" spans="1:26" ht="12" customHeight="1" x14ac:dyDescent="0.5">
      <c r="F598" s="90"/>
      <c r="G598" s="90"/>
      <c r="H598" s="90"/>
    </row>
    <row r="599" spans="1:26" ht="12" customHeight="1" x14ac:dyDescent="0.5">
      <c r="A599" s="23" t="s">
        <v>1628</v>
      </c>
      <c r="F599" s="90"/>
      <c r="G599" s="90"/>
      <c r="H599" s="90"/>
    </row>
    <row r="600" spans="1:26" ht="12" customHeight="1" x14ac:dyDescent="0.5">
      <c r="A600" s="96" t="s">
        <v>145</v>
      </c>
      <c r="C600" s="86" t="s">
        <v>376</v>
      </c>
      <c r="D600" s="86" t="s">
        <v>1147</v>
      </c>
      <c r="E600" s="86" t="s">
        <v>2253</v>
      </c>
      <c r="F600" s="89">
        <f>VLOOKUP(C600,'WSS-26'!$C$1:$AU$617,17,)</f>
        <v>0</v>
      </c>
      <c r="G600" s="89">
        <f t="shared" ref="G600:W600" si="331">IF(VLOOKUP($E600,$D$5:$W$977,3,)=0,0,(VLOOKUP($E600,$D$5:$W$977,G$1,)/VLOOKUP($E600,$D$5:$W$977,3,))*$F600)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F601" s="90"/>
    </row>
    <row r="602" spans="1:26" ht="12" customHeight="1" x14ac:dyDescent="0.5">
      <c r="A602" s="23" t="s">
        <v>1629</v>
      </c>
      <c r="F602" s="90"/>
      <c r="G602" s="90"/>
      <c r="H602" s="90"/>
    </row>
    <row r="603" spans="1:26" ht="12" customHeight="1" x14ac:dyDescent="0.5">
      <c r="A603" s="96" t="s">
        <v>147</v>
      </c>
      <c r="C603" s="86" t="s">
        <v>376</v>
      </c>
      <c r="D603" s="86" t="s">
        <v>1148</v>
      </c>
      <c r="E603" s="86" t="s">
        <v>2253</v>
      </c>
      <c r="F603" s="89">
        <f>VLOOKUP(C603,'WSS-26'!$C$1:$AU$617,18,)</f>
        <v>4024346.4010056118</v>
      </c>
      <c r="G603" s="89">
        <f t="shared" ref="G603:W603" si="332">IF(VLOOKUP($E603,$D$5:$W$977,3,)=0,0,(VLOOKUP($E603,$D$5:$W$977,G$1,)/VLOOKUP($E603,$D$5:$W$977,3,))*$F603)</f>
        <v>1938165.4628980064</v>
      </c>
      <c r="H603" s="89">
        <f t="shared" si="332"/>
        <v>6226.8361107757055</v>
      </c>
      <c r="I603" s="89">
        <f t="shared" si="332"/>
        <v>498664.60919064988</v>
      </c>
      <c r="J603" s="89">
        <f t="shared" si="332"/>
        <v>51035.476227219478</v>
      </c>
      <c r="K603" s="89">
        <f t="shared" si="332"/>
        <v>444852.3964457984</v>
      </c>
      <c r="L603" s="89">
        <f t="shared" si="332"/>
        <v>19115.670571252773</v>
      </c>
      <c r="M603" s="89">
        <f t="shared" si="332"/>
        <v>393545.28312038269</v>
      </c>
      <c r="N603" s="89">
        <f t="shared" si="332"/>
        <v>640941.5655619324</v>
      </c>
      <c r="O603" s="89">
        <f t="shared" si="332"/>
        <v>0</v>
      </c>
      <c r="P603" s="89">
        <f t="shared" si="332"/>
        <v>0</v>
      </c>
      <c r="Q603" s="89">
        <f t="shared" si="332"/>
        <v>29997.023538493191</v>
      </c>
      <c r="R603" s="89">
        <f t="shared" si="332"/>
        <v>1091.384050957904</v>
      </c>
      <c r="S603" s="89">
        <f t="shared" si="332"/>
        <v>294.04552021381943</v>
      </c>
      <c r="T603" s="89">
        <f t="shared" si="332"/>
        <v>414.06402327436513</v>
      </c>
      <c r="U603" s="89">
        <f t="shared" si="332"/>
        <v>2.5837466539006302</v>
      </c>
      <c r="V603" s="89">
        <f t="shared" si="332"/>
        <v>0</v>
      </c>
      <c r="W603" s="89">
        <f t="shared" si="332"/>
        <v>0</v>
      </c>
      <c r="X603" s="91">
        <f>SUM(G603:W603)</f>
        <v>4024346.4010056108</v>
      </c>
      <c r="Y603" s="87" t="str">
        <f>IF(ABS(F603-X603)&lt;0.01,"ok","err")</f>
        <v>ok</v>
      </c>
      <c r="Z603" s="203" t="str">
        <f>IF(Y603="err",X603-F603,"")</f>
        <v/>
      </c>
    </row>
    <row r="604" spans="1:26" ht="12" customHeight="1" x14ac:dyDescent="0.5">
      <c r="F604" s="90"/>
    </row>
    <row r="605" spans="1:26" ht="12" customHeight="1" x14ac:dyDescent="0.5">
      <c r="A605" s="23" t="s">
        <v>146</v>
      </c>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792</v>
      </c>
      <c r="C606" s="86" t="s">
        <v>376</v>
      </c>
      <c r="D606" s="86" t="s">
        <v>1149</v>
      </c>
      <c r="E606" s="86" t="s">
        <v>2253</v>
      </c>
      <c r="F606" s="89">
        <f>VLOOKUP(C606,'WSS-26'!$C$1:$AU$617,19,)</f>
        <v>0</v>
      </c>
      <c r="G606" s="89">
        <f t="shared" ref="G606:P610" si="333">IF(VLOOKUP($E606,$D$5:$W$977,3,)=0,0,(VLOOKUP($E606,$D$5:$W$977,G$1,)/VLOOKUP($E606,$D$5:$W$977,3,))*$F606)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IF(VLOOKUP($E606,$D$5:$W$977,3,)=0,0,(VLOOKUP($E606,$D$5:$W$977,Q$1,)/VLOOKUP($E606,$D$5:$W$977,3,))*$F606)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793</v>
      </c>
      <c r="C607" s="86" t="s">
        <v>376</v>
      </c>
      <c r="D607" s="86" t="s">
        <v>1150</v>
      </c>
      <c r="E607" s="86" t="s">
        <v>2253</v>
      </c>
      <c r="F607" s="90">
        <f>VLOOKUP(C607,'WSS-26'!$C$1:$AU$617,20,)</f>
        <v>3200777.2979566362</v>
      </c>
      <c r="G607" s="89">
        <f t="shared" si="333"/>
        <v>1541526.3486705262</v>
      </c>
      <c r="H607" s="89">
        <f t="shared" si="333"/>
        <v>4952.5348157124708</v>
      </c>
      <c r="I607" s="89">
        <f t="shared" si="333"/>
        <v>396614.55584266054</v>
      </c>
      <c r="J607" s="89">
        <f t="shared" si="333"/>
        <v>40591.235798605878</v>
      </c>
      <c r="K607" s="89">
        <f t="shared" si="333"/>
        <v>353814.83341730142</v>
      </c>
      <c r="L607" s="89">
        <f t="shared" si="333"/>
        <v>15203.712181534524</v>
      </c>
      <c r="M607" s="89">
        <f t="shared" si="333"/>
        <v>313007.55014898168</v>
      </c>
      <c r="N607" s="89">
        <f t="shared" si="333"/>
        <v>509775.00640968239</v>
      </c>
      <c r="O607" s="89">
        <f t="shared" si="333"/>
        <v>0</v>
      </c>
      <c r="P607" s="89">
        <f t="shared" si="333"/>
        <v>0</v>
      </c>
      <c r="Q607" s="89">
        <f t="shared" si="334"/>
        <v>23858.232463360444</v>
      </c>
      <c r="R607" s="89">
        <f t="shared" si="334"/>
        <v>868.03593567022483</v>
      </c>
      <c r="S607" s="89">
        <f t="shared" si="334"/>
        <v>233.8700827123281</v>
      </c>
      <c r="T607" s="89">
        <f t="shared" si="334"/>
        <v>329.32719839077492</v>
      </c>
      <c r="U607" s="89">
        <f t="shared" si="334"/>
        <v>2.0549914966092468</v>
      </c>
      <c r="V607" s="89">
        <f t="shared" si="334"/>
        <v>0</v>
      </c>
      <c r="W607" s="89">
        <f t="shared" si="334"/>
        <v>0</v>
      </c>
      <c r="X607" s="91">
        <f t="shared" si="335"/>
        <v>3200777.2979566352</v>
      </c>
      <c r="Y607" s="87" t="str">
        <f t="shared" si="336"/>
        <v>ok</v>
      </c>
      <c r="Z607" s="203" t="str">
        <f t="shared" si="337"/>
        <v/>
      </c>
    </row>
    <row r="608" spans="1:26" ht="12" customHeight="1" x14ac:dyDescent="0.5">
      <c r="A608" s="96" t="s">
        <v>794</v>
      </c>
      <c r="C608" s="86" t="s">
        <v>376</v>
      </c>
      <c r="D608" s="86" t="s">
        <v>1151</v>
      </c>
      <c r="E608" s="86" t="s">
        <v>905</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795</v>
      </c>
      <c r="C609" s="86" t="s">
        <v>376</v>
      </c>
      <c r="D609" s="86" t="s">
        <v>1152</v>
      </c>
      <c r="E609" s="86" t="s">
        <v>734</v>
      </c>
      <c r="F609" s="90">
        <f>VLOOKUP(C609,'WSS-26'!$C$1:$AU$617,22,)</f>
        <v>1440940.9718787491</v>
      </c>
      <c r="G609" s="89">
        <f t="shared" si="333"/>
        <v>1190044.8260026742</v>
      </c>
      <c r="H609" s="89">
        <f t="shared" si="333"/>
        <v>3578.5590234219317</v>
      </c>
      <c r="I609" s="89">
        <f t="shared" si="333"/>
        <v>222515.13068547662</v>
      </c>
      <c r="J609" s="89">
        <f t="shared" si="333"/>
        <v>16129.070516840204</v>
      </c>
      <c r="K609" s="89">
        <f t="shared" si="333"/>
        <v>0</v>
      </c>
      <c r="L609" s="89">
        <f t="shared" si="333"/>
        <v>0</v>
      </c>
      <c r="M609" s="89">
        <f t="shared" si="333"/>
        <v>0</v>
      </c>
      <c r="N609" s="89">
        <f t="shared" si="333"/>
        <v>0</v>
      </c>
      <c r="O609" s="89">
        <f t="shared" si="333"/>
        <v>0</v>
      </c>
      <c r="P609" s="89">
        <f t="shared" si="333"/>
        <v>0</v>
      </c>
      <c r="Q609" s="89">
        <f t="shared" si="334"/>
        <v>8289.8023890381901</v>
      </c>
      <c r="R609" s="89">
        <f t="shared" si="334"/>
        <v>301.60852797208815</v>
      </c>
      <c r="S609" s="89">
        <f t="shared" si="334"/>
        <v>81.260704177083213</v>
      </c>
      <c r="T609" s="89">
        <f t="shared" si="334"/>
        <v>0</v>
      </c>
      <c r="U609" s="89">
        <f t="shared" si="334"/>
        <v>0.71402914881503532</v>
      </c>
      <c r="V609" s="89">
        <f t="shared" si="334"/>
        <v>0</v>
      </c>
      <c r="W609" s="89">
        <f t="shared" si="334"/>
        <v>0</v>
      </c>
      <c r="X609" s="91">
        <f t="shared" si="335"/>
        <v>1440940.9718787493</v>
      </c>
      <c r="Y609" s="87" t="str">
        <f t="shared" si="336"/>
        <v>ok</v>
      </c>
      <c r="Z609" s="203" t="str">
        <f t="shared" si="337"/>
        <v/>
      </c>
    </row>
    <row r="610" spans="1:26" ht="12" customHeight="1" x14ac:dyDescent="0.5">
      <c r="A610" s="96" t="s">
        <v>796</v>
      </c>
      <c r="C610" s="86" t="s">
        <v>376</v>
      </c>
      <c r="D610" s="86" t="s">
        <v>1153</v>
      </c>
      <c r="E610" s="86" t="s">
        <v>904</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86" t="s">
        <v>1154</v>
      </c>
      <c r="F611" s="89">
        <f t="shared" ref="F611:U611" si="338">SUM(F606:F610)</f>
        <v>13772179.583490968</v>
      </c>
      <c r="G611" s="89">
        <f t="shared" si="338"/>
        <v>10057443.839173626</v>
      </c>
      <c r="H611" s="89">
        <f t="shared" ref="H611" si="339">SUM(H606:H610)</f>
        <v>19245.507692253461</v>
      </c>
      <c r="I611" s="89">
        <f t="shared" si="338"/>
        <v>1992166.8946033819</v>
      </c>
      <c r="J611" s="89">
        <f>SUM(J606:J610)</f>
        <v>63752.67701780286</v>
      </c>
      <c r="K611" s="89">
        <f>SUM(K606:K610)</f>
        <v>427472.28221250535</v>
      </c>
      <c r="L611" s="89">
        <f>SUM(L606:L610)</f>
        <v>17508.637876736397</v>
      </c>
      <c r="M611" s="89">
        <f t="shared" si="338"/>
        <v>325712.25759710738</v>
      </c>
      <c r="N611" s="89">
        <f t="shared" si="338"/>
        <v>512667.46218405338</v>
      </c>
      <c r="O611" s="89">
        <f t="shared" si="338"/>
        <v>0</v>
      </c>
      <c r="P611" s="89">
        <f t="shared" si="338"/>
        <v>0</v>
      </c>
      <c r="Q611" s="89">
        <f>SUM(Q606:Q610)</f>
        <v>351507.22795117181</v>
      </c>
      <c r="R611" s="89">
        <f t="shared" si="338"/>
        <v>1368.6738231429767</v>
      </c>
      <c r="S611" s="89">
        <f t="shared" si="338"/>
        <v>2769.8262207309294</v>
      </c>
      <c r="T611" s="89">
        <f t="shared" si="338"/>
        <v>395.67031822432943</v>
      </c>
      <c r="U611" s="89">
        <f t="shared" si="338"/>
        <v>168.62682022931062</v>
      </c>
      <c r="V611" s="89">
        <f>SUM(V606:V610)</f>
        <v>0</v>
      </c>
      <c r="W611" s="89">
        <f>SUM(W606:W610)</f>
        <v>0</v>
      </c>
      <c r="X611" s="91">
        <f t="shared" si="335"/>
        <v>13772179.58349096</v>
      </c>
      <c r="Y611" s="87" t="str">
        <f t="shared" si="336"/>
        <v>ok</v>
      </c>
      <c r="Z611" s="91" t="str">
        <f t="shared" si="337"/>
        <v/>
      </c>
    </row>
    <row r="612" spans="1:26" ht="12" customHeight="1" x14ac:dyDescent="0.5">
      <c r="F612" s="90"/>
    </row>
    <row r="613" spans="1:26" ht="12" customHeight="1" x14ac:dyDescent="0.5">
      <c r="A613" s="23" t="s">
        <v>791</v>
      </c>
      <c r="F613" s="90"/>
    </row>
    <row r="614" spans="1:26" ht="12" customHeight="1" x14ac:dyDescent="0.5">
      <c r="A614" s="96" t="s">
        <v>389</v>
      </c>
      <c r="C614" s="86" t="s">
        <v>376</v>
      </c>
      <c r="D614" s="86" t="s">
        <v>1155</v>
      </c>
      <c r="E614" s="86" t="s">
        <v>2178</v>
      </c>
      <c r="F614" s="89">
        <f>VLOOKUP(C614,'WSS-26'!$C$1:$AU$617,24,)</f>
        <v>2100509.0809078151</v>
      </c>
      <c r="G614" s="89">
        <f t="shared" ref="G614:P615" si="340">IF(VLOOKUP($E614,$D$5:$W$977,3,)=0,0,(VLOOKUP($E614,$D$5:$W$977,G$1,)/VLOOKUP($E614,$D$5:$W$977,3,))*$F614)</f>
        <v>1431802.0413400093</v>
      </c>
      <c r="H614" s="89">
        <f t="shared" si="340"/>
        <v>4305.5421130663508</v>
      </c>
      <c r="I614" s="89">
        <f t="shared" si="340"/>
        <v>267719.00636269682</v>
      </c>
      <c r="J614" s="89">
        <f t="shared" si="340"/>
        <v>19405.685892101737</v>
      </c>
      <c r="K614" s="89">
        <f t="shared" si="340"/>
        <v>197797.40539208069</v>
      </c>
      <c r="L614" s="89">
        <f t="shared" si="340"/>
        <v>0</v>
      </c>
      <c r="M614" s="89">
        <f t="shared" si="340"/>
        <v>168809.56979553381</v>
      </c>
      <c r="N614" s="89">
        <f t="shared" si="340"/>
        <v>0</v>
      </c>
      <c r="O614" s="89">
        <f t="shared" si="340"/>
        <v>0</v>
      </c>
      <c r="P614" s="89">
        <f t="shared" si="340"/>
        <v>0</v>
      </c>
      <c r="Q614" s="89">
        <f t="shared" ref="Q614:W615" si="341">IF(VLOOKUP($E614,$D$5:$W$977,3,)=0,0,(VLOOKUP($E614,$D$5:$W$977,Q$1,)/VLOOKUP($E614,$D$5:$W$977,3,))*$F614)</f>
        <v>9973.8730202281422</v>
      </c>
      <c r="R614" s="89">
        <f t="shared" si="341"/>
        <v>362.88020131690456</v>
      </c>
      <c r="S614" s="89">
        <f t="shared" si="341"/>
        <v>97.768789527271906</v>
      </c>
      <c r="T614" s="89">
        <f t="shared" si="341"/>
        <v>234.44891731813058</v>
      </c>
      <c r="U614" s="89">
        <f t="shared" si="341"/>
        <v>0.85908393575700426</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86" t="s">
        <v>1156</v>
      </c>
      <c r="E615" s="86" t="s">
        <v>2177</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1469</v>
      </c>
      <c r="D616" s="86" t="s">
        <v>1157</v>
      </c>
      <c r="F616" s="89">
        <f t="shared" ref="F616:U616" si="342">F614+F615</f>
        <v>3845668.7419400103</v>
      </c>
      <c r="G616" s="89">
        <f t="shared" si="342"/>
        <v>2832837.4032708406</v>
      </c>
      <c r="H616" s="89">
        <f t="shared" ref="H616" si="343">H614+H615</f>
        <v>6354.6185000096721</v>
      </c>
      <c r="I616" s="89">
        <f t="shared" si="342"/>
        <v>530305.29059909913</v>
      </c>
      <c r="J616" s="89">
        <f>J614+J615</f>
        <v>20750.590517587756</v>
      </c>
      <c r="K616" s="89">
        <f>K614+K615</f>
        <v>211884.01256609816</v>
      </c>
      <c r="L616" s="89">
        <f>L614+L615</f>
        <v>0</v>
      </c>
      <c r="M616" s="89">
        <f t="shared" si="342"/>
        <v>171239.27956704865</v>
      </c>
      <c r="N616" s="89">
        <f t="shared" si="342"/>
        <v>0</v>
      </c>
      <c r="O616" s="89">
        <f t="shared" si="342"/>
        <v>0</v>
      </c>
      <c r="P616" s="89">
        <f t="shared" si="342"/>
        <v>0</v>
      </c>
      <c r="Q616" s="89">
        <f>Q614+Q615</f>
        <v>71049.671519599113</v>
      </c>
      <c r="R616" s="89">
        <f t="shared" si="342"/>
        <v>400.94353977405603</v>
      </c>
      <c r="S616" s="89">
        <f t="shared" si="342"/>
        <v>567.21663049880681</v>
      </c>
      <c r="T616" s="89">
        <f t="shared" si="342"/>
        <v>247.13669680384774</v>
      </c>
      <c r="U616" s="89">
        <f t="shared" si="342"/>
        <v>32.578532650049894</v>
      </c>
      <c r="V616" s="89">
        <f>V614+V615</f>
        <v>0</v>
      </c>
      <c r="W616" s="89">
        <f>W614+W615</f>
        <v>0</v>
      </c>
      <c r="X616" s="91">
        <f>SUM(G616:W616)</f>
        <v>3845668.7419400099</v>
      </c>
      <c r="Y616" s="87" t="str">
        <f>IF(ABS(F616-X616)&lt;0.01,"ok","err")</f>
        <v>ok</v>
      </c>
      <c r="Z616" s="91" t="str">
        <f>IF(Y616="err",X616-F616,"")</f>
        <v/>
      </c>
    </row>
    <row r="617" spans="1:26" ht="12" customHeight="1" x14ac:dyDescent="0.5">
      <c r="F617" s="90"/>
    </row>
    <row r="618" spans="1:26" ht="12" customHeight="1" x14ac:dyDescent="0.5">
      <c r="A618" s="23" t="s">
        <v>128</v>
      </c>
      <c r="F618" s="90"/>
    </row>
    <row r="619" spans="1:26" ht="12" customHeight="1" x14ac:dyDescent="0.5">
      <c r="A619" s="96" t="s">
        <v>392</v>
      </c>
      <c r="C619" s="86" t="s">
        <v>376</v>
      </c>
      <c r="D619" s="86" t="s">
        <v>1158</v>
      </c>
      <c r="E619" s="86" t="s">
        <v>393</v>
      </c>
      <c r="F619" s="89">
        <f>VLOOKUP(C619,'WSS-26'!$C$1:$AU$617,26,)</f>
        <v>1471391.4910519426</v>
      </c>
      <c r="G619" s="89">
        <f t="shared" ref="G619:W619" si="344">IF(VLOOKUP($E619,$D$5:$W$977,3,)=0,0,(VLOOKUP($E619,$D$5:$W$977,G$1,)/VLOOKUP($E619,$D$5:$W$977,3,))*$F619)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F620" s="90"/>
    </row>
    <row r="621" spans="1:26" ht="12" customHeight="1" x14ac:dyDescent="0.5">
      <c r="A621" s="23" t="s">
        <v>127</v>
      </c>
      <c r="F621" s="90"/>
    </row>
    <row r="622" spans="1:26" ht="12" customHeight="1" x14ac:dyDescent="0.5">
      <c r="A622" s="96" t="s">
        <v>392</v>
      </c>
      <c r="C622" s="86" t="s">
        <v>376</v>
      </c>
      <c r="D622" s="86" t="s">
        <v>1159</v>
      </c>
      <c r="E622" s="86" t="s">
        <v>394</v>
      </c>
      <c r="F622" s="89">
        <f>VLOOKUP(C622,'WSS-26'!$C$1:$AU$617,27,)</f>
        <v>875093.61186417006</v>
      </c>
      <c r="G622" s="89">
        <f t="shared" ref="G622:W622" si="345">IF(VLOOKUP($E622,$D$5:$W$977,3,)=0,0,(VLOOKUP($E622,$D$5:$W$977,G$1,)/VLOOKUP($E622,$D$5:$W$977,3,))*$F622)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F623" s="90"/>
    </row>
    <row r="624" spans="1:26" ht="12" customHeight="1" x14ac:dyDescent="0.5">
      <c r="A624" s="23" t="s">
        <v>144</v>
      </c>
      <c r="F624" s="90"/>
    </row>
    <row r="625" spans="1:26" ht="12" customHeight="1" x14ac:dyDescent="0.5">
      <c r="A625" s="96" t="s">
        <v>392</v>
      </c>
      <c r="C625" s="86" t="s">
        <v>376</v>
      </c>
      <c r="D625" s="86" t="s">
        <v>1160</v>
      </c>
      <c r="E625" s="86" t="s">
        <v>395</v>
      </c>
      <c r="F625" s="89">
        <f>VLOOKUP(C625,'WSS-26'!$C$1:$AU$617,28,)</f>
        <v>1685046.6639415524</v>
      </c>
      <c r="G625" s="89">
        <f t="shared" ref="G625:W625" si="346">IF(VLOOKUP($E625,$D$5:$W$977,3,)=0,0,(VLOOKUP($E625,$D$5:$W$977,G$1,)/VLOOKUP($E625,$D$5:$W$977,3,))*$F625)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F626" s="90"/>
    </row>
    <row r="627" spans="1:26" ht="12" customHeight="1" x14ac:dyDescent="0.5">
      <c r="A627" s="23" t="s">
        <v>292</v>
      </c>
      <c r="F627" s="90"/>
    </row>
    <row r="628" spans="1:26" ht="12" customHeight="1" x14ac:dyDescent="0.5">
      <c r="A628" s="96" t="s">
        <v>392</v>
      </c>
      <c r="C628" s="86" t="s">
        <v>376</v>
      </c>
      <c r="D628" s="86" t="s">
        <v>1161</v>
      </c>
      <c r="E628" s="86" t="s">
        <v>396</v>
      </c>
      <c r="F628" s="89">
        <f>VLOOKUP(C628,'WSS-26'!$C$1:$AU$617,30,)</f>
        <v>0</v>
      </c>
      <c r="G628" s="89">
        <f t="shared" ref="G628:W628" si="347">IF(VLOOKUP($E628,$D$5:$W$977,3,)=0,0,(VLOOKUP($E628,$D$5:$W$977,G$1,)/VLOOKUP($E628,$D$5:$W$977,3,))*$F628)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F629" s="90"/>
    </row>
    <row r="630" spans="1:26" ht="12" customHeight="1" x14ac:dyDescent="0.5">
      <c r="A630" s="23" t="s">
        <v>1631</v>
      </c>
      <c r="F630" s="90"/>
    </row>
    <row r="631" spans="1:26" ht="12" customHeight="1" x14ac:dyDescent="0.5">
      <c r="A631" s="96" t="s">
        <v>392</v>
      </c>
      <c r="C631" s="86" t="s">
        <v>376</v>
      </c>
      <c r="D631" s="86" t="s">
        <v>1162</v>
      </c>
      <c r="E631" s="86" t="s">
        <v>396</v>
      </c>
      <c r="F631" s="89">
        <f>VLOOKUP(C631,'WSS-26'!$C$1:$AU$617,32,)</f>
        <v>0</v>
      </c>
      <c r="G631" s="89">
        <f t="shared" ref="G631:W631" si="348">IF(VLOOKUP($E631,$D$5:$W$977,3,)=0,0,(VLOOKUP($E631,$D$5:$W$977,G$1,)/VLOOKUP($E631,$D$5:$W$977,3,))*$F631)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F632" s="90"/>
    </row>
    <row r="633" spans="1:26" ht="12" customHeight="1" x14ac:dyDescent="0.5">
      <c r="A633" s="23" t="s">
        <v>1630</v>
      </c>
      <c r="F633" s="90"/>
    </row>
    <row r="634" spans="1:26" ht="12" customHeight="1" x14ac:dyDescent="0.5">
      <c r="A634" s="96" t="s">
        <v>392</v>
      </c>
      <c r="C634" s="86" t="s">
        <v>376</v>
      </c>
      <c r="D634" s="86" t="s">
        <v>1163</v>
      </c>
      <c r="E634" s="86" t="s">
        <v>397</v>
      </c>
      <c r="F634" s="89">
        <f>VLOOKUP(C634,'WSS-26'!$C$1:$AU$617,34,)</f>
        <v>0</v>
      </c>
      <c r="G634" s="89">
        <f t="shared" ref="G634:W634" si="349">IF(VLOOKUP($E634,$D$5:$W$977,3,)=0,0,(VLOOKUP($E634,$D$5:$W$977,G$1,)/VLOOKUP($E634,$D$5:$W$977,3,))*$F634)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F635" s="90"/>
    </row>
    <row r="636" spans="1:26" ht="12" customHeight="1" x14ac:dyDescent="0.5">
      <c r="A636" s="86" t="s">
        <v>62</v>
      </c>
      <c r="D636" s="86" t="s">
        <v>1164</v>
      </c>
      <c r="F636" s="89">
        <f>F591+F597+F600+F603+F611+F616+F619+F622+F625+F628+F631+F634</f>
        <v>109640428.99999999</v>
      </c>
      <c r="G636" s="89">
        <f t="shared" ref="G636:U636" si="350">G591+G597+G600+G603+G611+G616+G619+G622+G625+G628+G631+G634</f>
        <v>51426298.213818833</v>
      </c>
      <c r="H636" s="89">
        <f t="shared" ref="H636" si="351">H591+H597+H600+H603+H611+H616+H619+H622+H625+H628+H631+H634</f>
        <v>85048.025694382683</v>
      </c>
      <c r="I636" s="89">
        <f t="shared" si="350"/>
        <v>12822948.388816658</v>
      </c>
      <c r="J636" s="89">
        <f>J591+J597+J600+J603+J611+J616+J619+J622+J625+J628+J631+J634</f>
        <v>808413.12691875722</v>
      </c>
      <c r="K636" s="89">
        <f>K591+K597+K600+K603+K611+K616+K619+K622+K625+K628+K631+K634</f>
        <v>9810884.4043136351</v>
      </c>
      <c r="L636" s="89">
        <f>L591+L597+L600+L603+L611+L616+L619+L622+L625+L628+L631+L634</f>
        <v>423675.66821378865</v>
      </c>
      <c r="M636" s="89">
        <f t="shared" si="350"/>
        <v>9086125.1632384751</v>
      </c>
      <c r="N636" s="89">
        <f t="shared" si="350"/>
        <v>15857524.886993198</v>
      </c>
      <c r="O636" s="89">
        <f t="shared" si="350"/>
        <v>4838726.1642371649</v>
      </c>
      <c r="P636" s="89">
        <f>P591+P597+P600+P603+P611+P616+P619+P622+P625+P628+P631+P634</f>
        <v>2201917.407755428</v>
      </c>
      <c r="Q636" s="89">
        <f>Q591+Q597+Q600+Q603+Q611+Q616+Q619+Q622+Q625+Q628+Q631+Q634</f>
        <v>2255127.9892264996</v>
      </c>
      <c r="R636" s="89">
        <f t="shared" si="350"/>
        <v>7266.0885738606576</v>
      </c>
      <c r="S636" s="89">
        <f t="shared" si="350"/>
        <v>12750.140934078341</v>
      </c>
      <c r="T636" s="89">
        <f t="shared" si="350"/>
        <v>3453.929111887031</v>
      </c>
      <c r="U636" s="89">
        <f t="shared" si="350"/>
        <v>269.4021533451604</v>
      </c>
      <c r="V636" s="89">
        <f>V591+V597+V600+V603+V611+V616+V619+V622+V625+V628+V631+V634</f>
        <v>0</v>
      </c>
      <c r="W636" s="89">
        <f>W591+W597+W600+W603+W611+W616+W619+W622+W625+W628+W631+W634</f>
        <v>0</v>
      </c>
      <c r="X636" s="91">
        <f>SUM(G636:W636)</f>
        <v>109640429</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553</v>
      </c>
      <c r="F648" s="91"/>
    </row>
    <row r="649" spans="1:26" ht="12" customHeight="1" x14ac:dyDescent="0.5">
      <c r="F649" s="91"/>
      <c r="G649" s="91"/>
      <c r="H649" s="91"/>
    </row>
    <row r="650" spans="1:26" ht="12" customHeight="1" x14ac:dyDescent="0.5">
      <c r="A650" s="288" t="s">
        <v>411</v>
      </c>
    </row>
    <row r="651" spans="1:26" ht="12" customHeight="1" x14ac:dyDescent="0.5">
      <c r="A651" s="96" t="s">
        <v>897</v>
      </c>
      <c r="D651" s="86" t="s">
        <v>412</v>
      </c>
      <c r="E651" s="86" t="s">
        <v>494</v>
      </c>
      <c r="F651" s="89">
        <f>F825</f>
        <v>1558608458.4696758</v>
      </c>
      <c r="G651" s="89">
        <f t="shared" ref="G651:P652" si="352">IF(VLOOKUP($E651,$D$5:$AK$1059,3,)=0,0,(VLOOKUP($E651,$D$5:$AK$1059,G$1,)/VLOOKUP($E651,$D$5:$AK$1059,3,))*$F651)</f>
        <v>610498742.60889256</v>
      </c>
      <c r="H651" s="89">
        <f t="shared" si="352"/>
        <v>994054.40110739076</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IF(VLOOKUP($E651,$D$5:$AK$1059,3,)=0,0,(VLOOKUP($E651,$D$5:$AK$1059,Q$1,)/VLOOKUP($E651,$D$5:$AK$1059,3,))*$F651)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2353</v>
      </c>
      <c r="E652" s="86" t="s">
        <v>104</v>
      </c>
      <c r="F652" s="90">
        <f>9557872.60243877-694271.5</f>
        <v>8863601.1024387702</v>
      </c>
      <c r="G652" s="90">
        <f t="shared" si="352"/>
        <v>3055519.7481216351</v>
      </c>
      <c r="H652" s="90">
        <f t="shared" si="352"/>
        <v>5024.1445088369974</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2254</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2078</v>
      </c>
      <c r="E654" s="86" t="s">
        <v>1839</v>
      </c>
      <c r="F654" s="90">
        <f>'Jurisdictional Study'!F952</f>
        <v>3870654</v>
      </c>
      <c r="G654" s="90">
        <f t="shared" ref="G654:P664" si="357">IF(VLOOKUP($E654,$D$5:$AK$1059,3,)=0,0,(VLOOKUP($E654,$D$5:$AK$1059,G$1,)/VLOOKUP($E654,$D$5:$AK$1059,3,))*$F654)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IF(VLOOKUP($E654,$D$5:$AK$1059,3,)=0,0,(VLOOKUP($E654,$D$5:$AK$1059,Q$1,)/VLOOKUP($E654,$D$5:$AK$1059,3,))*$F654)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2079</v>
      </c>
      <c r="E655" s="86" t="s">
        <v>2355</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2080</v>
      </c>
      <c r="E656" s="86" t="s">
        <v>2108</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2081</v>
      </c>
      <c r="E657" s="86" t="s">
        <v>2358</v>
      </c>
      <c r="F657" s="90">
        <f>'Jurisdictional Study'!F955</f>
        <v>2942175</v>
      </c>
      <c r="G657" s="90">
        <f t="shared" si="357"/>
        <v>1385436.5105339969</v>
      </c>
      <c r="H657" s="90">
        <f t="shared" si="357"/>
        <v>6422.9116773908454</v>
      </c>
      <c r="I657" s="90">
        <f t="shared" si="357"/>
        <v>345565.49072631658</v>
      </c>
      <c r="J657" s="90">
        <f t="shared" si="357"/>
        <v>21940.126942258998</v>
      </c>
      <c r="K657" s="90">
        <f t="shared" si="357"/>
        <v>259883.78562978545</v>
      </c>
      <c r="L657" s="90">
        <f t="shared" si="357"/>
        <v>11263.469641649506</v>
      </c>
      <c r="M657" s="90">
        <f t="shared" si="357"/>
        <v>240607.75571481112</v>
      </c>
      <c r="N657" s="90">
        <f t="shared" si="357"/>
        <v>419364.66080728208</v>
      </c>
      <c r="O657" s="90">
        <f t="shared" si="357"/>
        <v>127735.19746444409</v>
      </c>
      <c r="P657" s="90">
        <f t="shared" si="357"/>
        <v>59090.353869675389</v>
      </c>
      <c r="Q657" s="90">
        <f t="shared" si="358"/>
        <v>64191.573608192586</v>
      </c>
      <c r="R657" s="90">
        <f t="shared" si="358"/>
        <v>225.77633477526712</v>
      </c>
      <c r="S657" s="90">
        <f t="shared" si="358"/>
        <v>348.48368910247495</v>
      </c>
      <c r="T657" s="90">
        <f t="shared" si="358"/>
        <v>98.903360318157127</v>
      </c>
      <c r="U657" s="90">
        <f t="shared" si="358"/>
        <v>0</v>
      </c>
      <c r="V657" s="90">
        <f t="shared" si="358"/>
        <v>0</v>
      </c>
      <c r="W657" s="90">
        <f t="shared" si="358"/>
        <v>0</v>
      </c>
      <c r="X657" s="90">
        <f t="shared" si="354"/>
        <v>2942174.9999999986</v>
      </c>
      <c r="Y657" s="87" t="str">
        <f t="shared" si="355"/>
        <v>ok</v>
      </c>
      <c r="Z657" s="91" t="str">
        <f t="shared" si="356"/>
        <v/>
      </c>
    </row>
    <row r="658" spans="1:26" ht="12" customHeight="1" x14ac:dyDescent="0.5">
      <c r="A658" s="86" t="s">
        <v>2082</v>
      </c>
      <c r="E658" s="86" t="s">
        <v>136</v>
      </c>
      <c r="F658" s="90">
        <f>'Jurisdictional Study'!F958</f>
        <v>26560959</v>
      </c>
      <c r="G658" s="90">
        <f t="shared" si="357"/>
        <v>11711750.868090896</v>
      </c>
      <c r="H658" s="90">
        <f t="shared" si="357"/>
        <v>37626.897507911483</v>
      </c>
      <c r="I658" s="90">
        <f t="shared" si="357"/>
        <v>3013280.2288419153</v>
      </c>
      <c r="J658" s="90">
        <f t="shared" si="357"/>
        <v>308392.03073707031</v>
      </c>
      <c r="K658" s="90">
        <f t="shared" si="357"/>
        <v>2688109.214605567</v>
      </c>
      <c r="L658" s="90">
        <f t="shared" si="357"/>
        <v>115510.24703136533</v>
      </c>
      <c r="M658" s="90">
        <f t="shared" si="357"/>
        <v>2378075.7625959036</v>
      </c>
      <c r="N658" s="90">
        <f t="shared" si="357"/>
        <v>3873017.0775210653</v>
      </c>
      <c r="O658" s="90">
        <f t="shared" si="357"/>
        <v>1343078.594834273</v>
      </c>
      <c r="P658" s="90">
        <f t="shared" si="357"/>
        <v>899965.67718246102</v>
      </c>
      <c r="Q658" s="90">
        <f t="shared" si="358"/>
        <v>181262.98976651326</v>
      </c>
      <c r="R658" s="90">
        <f t="shared" si="358"/>
        <v>6594.9055180844643</v>
      </c>
      <c r="S658" s="90">
        <f t="shared" si="358"/>
        <v>1776.8286261138808</v>
      </c>
      <c r="T658" s="90">
        <f t="shared" si="358"/>
        <v>2502.0643370549778</v>
      </c>
      <c r="U658" s="90">
        <f t="shared" si="358"/>
        <v>15.612803806493201</v>
      </c>
      <c r="V658" s="90">
        <f t="shared" si="358"/>
        <v>0</v>
      </c>
      <c r="W658" s="90">
        <f t="shared" si="358"/>
        <v>0</v>
      </c>
      <c r="X658" s="90">
        <f t="shared" si="354"/>
        <v>26560959</v>
      </c>
      <c r="Y658" s="87" t="str">
        <f t="shared" si="355"/>
        <v>ok</v>
      </c>
      <c r="Z658" s="91" t="str">
        <f t="shared" si="356"/>
        <v/>
      </c>
    </row>
    <row r="659" spans="1:26" ht="12" customHeight="1" x14ac:dyDescent="0.5">
      <c r="A659" s="86" t="s">
        <v>2171</v>
      </c>
      <c r="E659" s="86" t="s">
        <v>2273</v>
      </c>
      <c r="F659" s="90">
        <f>'Jurisdictional Study'!F959</f>
        <v>1421404</v>
      </c>
      <c r="G659" s="90">
        <f t="shared" si="357"/>
        <v>582738.63295099512</v>
      </c>
      <c r="H659" s="90">
        <f t="shared" si="357"/>
        <v>595.12734620767276</v>
      </c>
      <c r="I659" s="90">
        <f t="shared" si="357"/>
        <v>157117.05460034375</v>
      </c>
      <c r="J659" s="90">
        <f t="shared" si="357"/>
        <v>10081.772209759927</v>
      </c>
      <c r="K659" s="90">
        <f t="shared" si="357"/>
        <v>146517.94254989771</v>
      </c>
      <c r="L659" s="90">
        <f t="shared" si="357"/>
        <v>6365.4986256401471</v>
      </c>
      <c r="M659" s="90">
        <f t="shared" si="357"/>
        <v>140910.18664926843</v>
      </c>
      <c r="N659" s="90">
        <f t="shared" si="357"/>
        <v>257951.69167500932</v>
      </c>
      <c r="O659" s="90">
        <f t="shared" si="357"/>
        <v>83967.158839441239</v>
      </c>
      <c r="P659" s="90">
        <f t="shared" si="357"/>
        <v>34770.684945625289</v>
      </c>
      <c r="Q659" s="90">
        <f t="shared" si="358"/>
        <v>226.63733589392547</v>
      </c>
      <c r="R659" s="90">
        <f t="shared" si="358"/>
        <v>8.2457638981685228</v>
      </c>
      <c r="S659" s="90">
        <f t="shared" si="358"/>
        <v>134.83704502014095</v>
      </c>
      <c r="T659" s="90">
        <f t="shared" si="358"/>
        <v>17.355835855613027</v>
      </c>
      <c r="U659" s="90">
        <f t="shared" si="358"/>
        <v>1.1736271432747347</v>
      </c>
      <c r="V659" s="90">
        <f t="shared" si="358"/>
        <v>0</v>
      </c>
      <c r="W659" s="90">
        <f t="shared" si="358"/>
        <v>0</v>
      </c>
      <c r="X659" s="90">
        <f t="shared" si="354"/>
        <v>1421403.9999999998</v>
      </c>
      <c r="Y659" s="87" t="str">
        <f t="shared" si="355"/>
        <v>ok</v>
      </c>
      <c r="Z659" s="91" t="str">
        <f t="shared" si="356"/>
        <v/>
      </c>
    </row>
    <row r="660" spans="1:26" ht="12" customHeight="1" x14ac:dyDescent="0.5">
      <c r="A660" s="86" t="s">
        <v>2083</v>
      </c>
      <c r="E660" s="86" t="s">
        <v>2108</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2526</v>
      </c>
      <c r="E661" s="86" t="s">
        <v>1378</v>
      </c>
      <c r="F661" s="90">
        <f>'Jurisdictional Study'!F961</f>
        <v>90486</v>
      </c>
      <c r="G661" s="90">
        <f t="shared" si="357"/>
        <v>31192.938031976853</v>
      </c>
      <c r="H661" s="90">
        <f t="shared" si="357"/>
        <v>51.290072147035112</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2084</v>
      </c>
      <c r="E662" s="86" t="s">
        <v>1053</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2085</v>
      </c>
      <c r="E663" s="86" t="s">
        <v>2108</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2086</v>
      </c>
      <c r="E664" s="86" t="s">
        <v>2108</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2480</v>
      </c>
      <c r="E665" s="86" t="s">
        <v>2273</v>
      </c>
      <c r="F665" s="90">
        <f>'Jurisdictional Study'!F957+'Jurisdictional Study'!F965</f>
        <v>0</v>
      </c>
      <c r="G665" s="90">
        <f>IF(VLOOKUP($E665,$D$5:$AK$1059,3,)=0,0,(VLOOKUP($E665,$D$5:$AK$1059,G$1,)/VLOOKUP($E665,$D$5:$AK$1059,3,))*$F665)</f>
        <v>0</v>
      </c>
      <c r="H665" s="90"/>
      <c r="I665" s="90">
        <f t="shared" ref="I665:W665" si="359">IF(VLOOKUP($E665,$D$5:$AK$1059,3,)=0,0,(VLOOKUP($E665,$D$5:$AK$1059,I$1,)/VLOOKUP($E665,$D$5:$AK$1059,3,))*$F665)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2352</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797</v>
      </c>
      <c r="D667" s="86" t="s">
        <v>798</v>
      </c>
      <c r="E667" s="86" t="s">
        <v>494</v>
      </c>
      <c r="F667" s="90">
        <v>0</v>
      </c>
      <c r="G667" s="90">
        <f>IF(VLOOKUP($E667,$D$5:$AK$1059,3,)=0,0,(VLOOKUP($E667,$D$5:$AK$1059,G$1,)/VLOOKUP($E667,$D$5:$AK$1059,3,))*$F667)</f>
        <v>0</v>
      </c>
      <c r="H667" s="90"/>
      <c r="I667" s="90">
        <f t="shared" ref="I667:U667" si="360">IF(VLOOKUP($E667,$D$5:$AK$1059,3,)=0,0,(VLOOKUP($E667,$D$5:$AK$1059,I$1,)/VLOOKUP($E667,$D$5:$AK$1059,3,))*$F667)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632354479.49888062</v>
      </c>
      <c r="H669" s="91">
        <f t="shared" si="361"/>
        <v>1051220.687364765</v>
      </c>
      <c r="I669" s="91">
        <f t="shared" si="361"/>
        <v>229947997.57106671</v>
      </c>
      <c r="J669" s="91">
        <f t="shared" si="361"/>
        <v>12341104.149929067</v>
      </c>
      <c r="K669" s="91">
        <f t="shared" si="361"/>
        <v>174078593.35727775</v>
      </c>
      <c r="L669" s="91">
        <f t="shared" si="361"/>
        <v>9618570.9471681006</v>
      </c>
      <c r="M669" s="91">
        <f t="shared" si="361"/>
        <v>137918383.42054722</v>
      </c>
      <c r="N669" s="91">
        <f t="shared" si="361"/>
        <v>255960630.21993825</v>
      </c>
      <c r="O669" s="91">
        <f t="shared" si="361"/>
        <v>81116100.933095604</v>
      </c>
      <c r="P669" s="91">
        <f t="shared" si="361"/>
        <v>20036277.988449719</v>
      </c>
      <c r="Q669" s="91">
        <f t="shared" si="361"/>
        <v>30869021.862646241</v>
      </c>
      <c r="R669" s="91">
        <f t="shared" si="361"/>
        <v>316348.41382896813</v>
      </c>
      <c r="S669" s="91">
        <f t="shared" si="361"/>
        <v>274795.72459276643</v>
      </c>
      <c r="T669" s="91">
        <f t="shared" si="361"/>
        <v>95108.064860777158</v>
      </c>
      <c r="U669" s="91">
        <f t="shared" si="361"/>
        <v>6746.4824681938508</v>
      </c>
      <c r="V669" s="91">
        <f t="shared" si="361"/>
        <v>162504.0000000002</v>
      </c>
      <c r="W669" s="91">
        <f t="shared" si="361"/>
        <v>38355.120000000003</v>
      </c>
      <c r="X669" s="91">
        <f>SUM(G669:W669)</f>
        <v>1586186238.4421148</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368559285.05166757</v>
      </c>
      <c r="H674" s="91">
        <f t="shared" ref="H674" si="363">H231</f>
        <v>622964.87766435475</v>
      </c>
      <c r="I674" s="91">
        <f t="shared" si="362"/>
        <v>102777582.98476294</v>
      </c>
      <c r="J674" s="91">
        <f t="shared" si="362"/>
        <v>6577092.3423008164</v>
      </c>
      <c r="K674" s="91">
        <f t="shared" si="362"/>
        <v>80219148.685030729</v>
      </c>
      <c r="L674" s="91">
        <f t="shared" si="362"/>
        <v>3698946.5650880304</v>
      </c>
      <c r="M674" s="91">
        <f t="shared" si="362"/>
        <v>80147030.111942157</v>
      </c>
      <c r="N674" s="91">
        <f t="shared" si="362"/>
        <v>161369012.01558807</v>
      </c>
      <c r="O674" s="91">
        <f t="shared" si="362"/>
        <v>54271582.06786228</v>
      </c>
      <c r="P674" s="91">
        <f t="shared" si="362"/>
        <v>23902042.703641675</v>
      </c>
      <c r="Q674" s="91">
        <f t="shared" si="362"/>
        <v>9699242.4408415016</v>
      </c>
      <c r="R674" s="91">
        <f t="shared" si="362"/>
        <v>167473.15473745018</v>
      </c>
      <c r="S674" s="91">
        <f t="shared" si="362"/>
        <v>140704.28056896492</v>
      </c>
      <c r="T674" s="91">
        <f t="shared" si="362"/>
        <v>22987.648508427035</v>
      </c>
      <c r="U674" s="91">
        <f t="shared" si="362"/>
        <v>21464.069794866617</v>
      </c>
      <c r="V674" s="91">
        <f t="shared" si="362"/>
        <v>91514</v>
      </c>
      <c r="W674" s="91">
        <f t="shared" si="362"/>
        <v>7000</v>
      </c>
      <c r="X674" s="91">
        <f t="shared" ref="X674:X680" si="364">SUM(G674:W674)</f>
        <v>892295072.99999988</v>
      </c>
      <c r="Y674" s="87" t="str">
        <f t="shared" ref="Y674:Y680" si="365">IF(ABS(F674-X674)&lt;0.01,"ok","err")</f>
        <v>ok</v>
      </c>
      <c r="Z674" s="91" t="str">
        <f t="shared" ref="Z674:Z680" si="366">IF(Y674="err",X674-F674,"")</f>
        <v/>
      </c>
    </row>
    <row r="675" spans="1:26" ht="12" customHeight="1" x14ac:dyDescent="0.5">
      <c r="A675" s="96" t="s">
        <v>417</v>
      </c>
      <c r="F675" s="90">
        <f t="shared" ref="F675:W675" si="367">F345</f>
        <v>370531144.99999994</v>
      </c>
      <c r="G675" s="90">
        <f t="shared" si="367"/>
        <v>163885507.33045521</v>
      </c>
      <c r="H675" s="90">
        <f t="shared" ref="H675" si="368">H345</f>
        <v>233110.82257238447</v>
      </c>
      <c r="I675" s="90">
        <f t="shared" si="367"/>
        <v>42244784.497978106</v>
      </c>
      <c r="J675" s="90">
        <f t="shared" si="367"/>
        <v>2712858.1186784049</v>
      </c>
      <c r="K675" s="90">
        <f t="shared" si="367"/>
        <v>35444201.894145571</v>
      </c>
      <c r="L675" s="90">
        <f t="shared" si="367"/>
        <v>1534704.0192330964</v>
      </c>
      <c r="M675" s="90">
        <f t="shared" si="367"/>
        <v>33399476.380628955</v>
      </c>
      <c r="N675" s="90">
        <f t="shared" si="367"/>
        <v>59606091.616011411</v>
      </c>
      <c r="O675" s="90">
        <f t="shared" si="367"/>
        <v>18832387.238158166</v>
      </c>
      <c r="P675" s="90">
        <f t="shared" si="367"/>
        <v>8245202.8211647803</v>
      </c>
      <c r="Q675" s="90">
        <f t="shared" si="367"/>
        <v>4191349.326172214</v>
      </c>
      <c r="R675" s="90">
        <f t="shared" si="367"/>
        <v>15844.111319890933</v>
      </c>
      <c r="S675" s="90">
        <f t="shared" si="367"/>
        <v>39219.398935763937</v>
      </c>
      <c r="T675" s="90">
        <f t="shared" si="367"/>
        <v>8921.911041793699</v>
      </c>
      <c r="U675" s="90">
        <f t="shared" si="367"/>
        <v>16554.52070089243</v>
      </c>
      <c r="V675" s="90">
        <f t="shared" si="367"/>
        <v>106487.13</v>
      </c>
      <c r="W675" s="90">
        <f t="shared" si="367"/>
        <v>14443.86</v>
      </c>
      <c r="X675" s="90">
        <f t="shared" si="364"/>
        <v>370531144.99719661</v>
      </c>
      <c r="Y675" s="87" t="str">
        <f t="shared" si="365"/>
        <v>ok</v>
      </c>
      <c r="Z675" s="91" t="str">
        <f t="shared" si="366"/>
        <v/>
      </c>
    </row>
    <row r="676" spans="1:26" ht="12" customHeight="1" x14ac:dyDescent="0.5">
      <c r="A676" s="96" t="s">
        <v>261</v>
      </c>
      <c r="F676" s="90">
        <f t="shared" ref="F676:W676" si="369">F402</f>
        <v>0</v>
      </c>
      <c r="G676" s="90">
        <f t="shared" si="369"/>
        <v>0</v>
      </c>
      <c r="H676" s="90">
        <f t="shared" ref="H676" si="370">H402</f>
        <v>0</v>
      </c>
      <c r="I676" s="90">
        <f t="shared" si="369"/>
        <v>0</v>
      </c>
      <c r="J676" s="90">
        <f t="shared" si="369"/>
        <v>0</v>
      </c>
      <c r="K676" s="90">
        <f t="shared" si="369"/>
        <v>0</v>
      </c>
      <c r="L676" s="90">
        <f t="shared" si="369"/>
        <v>0</v>
      </c>
      <c r="M676" s="90">
        <f t="shared" si="369"/>
        <v>0</v>
      </c>
      <c r="N676" s="90">
        <f t="shared" si="369"/>
        <v>0</v>
      </c>
      <c r="O676" s="90">
        <f t="shared" si="369"/>
        <v>0</v>
      </c>
      <c r="P676" s="90">
        <f t="shared" si="369"/>
        <v>0</v>
      </c>
      <c r="Q676" s="90">
        <f t="shared" si="369"/>
        <v>0</v>
      </c>
      <c r="R676" s="90">
        <f t="shared" si="369"/>
        <v>0</v>
      </c>
      <c r="S676" s="90">
        <f t="shared" si="369"/>
        <v>0</v>
      </c>
      <c r="T676" s="90">
        <f t="shared" si="369"/>
        <v>0</v>
      </c>
      <c r="U676" s="90">
        <f t="shared" si="369"/>
        <v>0</v>
      </c>
      <c r="V676" s="90">
        <f t="shared" si="369"/>
        <v>0</v>
      </c>
      <c r="W676" s="90">
        <f t="shared" si="369"/>
        <v>0</v>
      </c>
      <c r="X676" s="90">
        <f t="shared" si="364"/>
        <v>0</v>
      </c>
      <c r="Y676" s="87" t="str">
        <f t="shared" si="365"/>
        <v>ok</v>
      </c>
      <c r="Z676" s="91" t="str">
        <f t="shared" si="366"/>
        <v/>
      </c>
    </row>
    <row r="677" spans="1:26" ht="12" customHeight="1" x14ac:dyDescent="0.5">
      <c r="A677" s="96" t="s">
        <v>418</v>
      </c>
      <c r="E677" s="86" t="s">
        <v>399</v>
      </c>
      <c r="F677" s="90">
        <f t="shared" ref="F677:W677" si="371">F459</f>
        <v>35914758</v>
      </c>
      <c r="G677" s="90">
        <f t="shared" si="371"/>
        <v>16842550.50297663</v>
      </c>
      <c r="H677" s="90">
        <f t="shared" ref="H677" si="372">H459</f>
        <v>27855.376134083268</v>
      </c>
      <c r="I677" s="90">
        <f t="shared" si="371"/>
        <v>4199400.9097359888</v>
      </c>
      <c r="J677" s="90">
        <f t="shared" si="371"/>
        <v>264768.15207863163</v>
      </c>
      <c r="K677" s="90">
        <f t="shared" si="371"/>
        <v>3213110.8138611987</v>
      </c>
      <c r="L677" s="90">
        <f t="shared" si="371"/>
        <v>138732.56826273439</v>
      </c>
      <c r="M677" s="90">
        <f t="shared" si="371"/>
        <v>2975845.0414199485</v>
      </c>
      <c r="N677" s="90">
        <f t="shared" si="371"/>
        <v>5193537.8875708571</v>
      </c>
      <c r="O677" s="90">
        <f t="shared" si="371"/>
        <v>1584716.3373163824</v>
      </c>
      <c r="P677" s="90">
        <f t="shared" si="371"/>
        <v>721164.58941585035</v>
      </c>
      <c r="Q677" s="90">
        <f t="shared" si="371"/>
        <v>738708.30467447173</v>
      </c>
      <c r="R677" s="90">
        <f t="shared" si="371"/>
        <v>2379.8223256767028</v>
      </c>
      <c r="S677" s="90">
        <f t="shared" si="371"/>
        <v>4172.4954314631996</v>
      </c>
      <c r="T677" s="90">
        <f t="shared" si="371"/>
        <v>1131.2058809241596</v>
      </c>
      <c r="U677" s="90">
        <f t="shared" si="371"/>
        <v>2075.6572489719283</v>
      </c>
      <c r="V677" s="90">
        <f t="shared" si="371"/>
        <v>4038.9486899610001</v>
      </c>
      <c r="W677" s="90">
        <f t="shared" si="371"/>
        <v>569.38697621906249</v>
      </c>
      <c r="X677" s="90">
        <f t="shared" si="364"/>
        <v>35914757.999999985</v>
      </c>
      <c r="Y677" s="87" t="str">
        <f t="shared" si="365"/>
        <v>ok</v>
      </c>
      <c r="Z677" s="91" t="str">
        <f t="shared" si="366"/>
        <v/>
      </c>
    </row>
    <row r="678" spans="1:26" ht="12" customHeight="1" x14ac:dyDescent="0.5">
      <c r="A678" s="96" t="s">
        <v>419</v>
      </c>
      <c r="F678" s="90">
        <f t="shared" ref="F678:W678" si="373">F516</f>
        <v>13649179.000000002</v>
      </c>
      <c r="G678" s="90">
        <f t="shared" si="373"/>
        <v>6402079.5616167597</v>
      </c>
      <c r="H678" s="90">
        <f t="shared" ref="H678" si="374">H516</f>
        <v>10587.661293255509</v>
      </c>
      <c r="I678" s="90">
        <f t="shared" si="373"/>
        <v>1596333.7562891166</v>
      </c>
      <c r="J678" s="90">
        <f t="shared" si="373"/>
        <v>100639.65980344567</v>
      </c>
      <c r="K678" s="90">
        <f t="shared" si="373"/>
        <v>1221360.7571964639</v>
      </c>
      <c r="L678" s="90">
        <f t="shared" si="373"/>
        <v>52743.54620953383</v>
      </c>
      <c r="M678" s="90">
        <f t="shared" si="373"/>
        <v>1131135.2016822752</v>
      </c>
      <c r="N678" s="90">
        <f t="shared" si="373"/>
        <v>1974109.3468315867</v>
      </c>
      <c r="O678" s="90">
        <f t="shared" si="373"/>
        <v>602374.87348445598</v>
      </c>
      <c r="P678" s="90">
        <f t="shared" si="373"/>
        <v>274117.54145607934</v>
      </c>
      <c r="Q678" s="90">
        <f t="shared" si="373"/>
        <v>280741.74712379649</v>
      </c>
      <c r="R678" s="90">
        <f t="shared" si="373"/>
        <v>904.55814957162227</v>
      </c>
      <c r="S678" s="90">
        <f t="shared" si="373"/>
        <v>1587.2699283624884</v>
      </c>
      <c r="T678" s="90">
        <f t="shared" si="373"/>
        <v>429.98095804109914</v>
      </c>
      <c r="U678" s="90">
        <f t="shared" si="373"/>
        <v>33.537977254663453</v>
      </c>
      <c r="V678" s="90">
        <f t="shared" si="373"/>
        <v>0</v>
      </c>
      <c r="W678" s="90">
        <f t="shared" si="373"/>
        <v>0</v>
      </c>
      <c r="X678" s="90">
        <f t="shared" si="364"/>
        <v>13649179</v>
      </c>
      <c r="Y678" s="87" t="str">
        <f t="shared" si="365"/>
        <v>ok</v>
      </c>
      <c r="Z678" s="91" t="str">
        <f t="shared" si="366"/>
        <v/>
      </c>
    </row>
    <row r="679" spans="1:26" ht="12" customHeight="1" x14ac:dyDescent="0.5">
      <c r="A679" s="86" t="s">
        <v>899</v>
      </c>
      <c r="F679" s="90">
        <f t="shared" ref="F679:W679" si="375">F574</f>
        <v>0</v>
      </c>
      <c r="G679" s="90">
        <f t="shared" si="375"/>
        <v>0</v>
      </c>
      <c r="H679" s="90">
        <f t="shared" ref="H679" si="376">H574</f>
        <v>0</v>
      </c>
      <c r="I679" s="90">
        <f t="shared" si="375"/>
        <v>0</v>
      </c>
      <c r="J679" s="90">
        <f t="shared" si="375"/>
        <v>0</v>
      </c>
      <c r="K679" s="90">
        <f t="shared" si="375"/>
        <v>0</v>
      </c>
      <c r="L679" s="90">
        <f t="shared" si="375"/>
        <v>0</v>
      </c>
      <c r="M679" s="90">
        <f t="shared" si="375"/>
        <v>0</v>
      </c>
      <c r="N679" s="90">
        <f t="shared" si="375"/>
        <v>0</v>
      </c>
      <c r="O679" s="90">
        <f t="shared" si="375"/>
        <v>0</v>
      </c>
      <c r="P679" s="90">
        <f t="shared" si="375"/>
        <v>0</v>
      </c>
      <c r="Q679" s="90">
        <f t="shared" si="375"/>
        <v>0</v>
      </c>
      <c r="R679" s="90">
        <f t="shared" si="375"/>
        <v>0</v>
      </c>
      <c r="S679" s="90">
        <f t="shared" si="375"/>
        <v>0</v>
      </c>
      <c r="T679" s="90">
        <f t="shared" si="375"/>
        <v>0</v>
      </c>
      <c r="U679" s="90">
        <f t="shared" si="375"/>
        <v>0</v>
      </c>
      <c r="V679" s="90">
        <f t="shared" si="375"/>
        <v>0</v>
      </c>
      <c r="W679" s="90">
        <f t="shared" si="375"/>
        <v>0</v>
      </c>
      <c r="X679" s="90">
        <f t="shared" si="364"/>
        <v>0</v>
      </c>
      <c r="Y679" s="87" t="str">
        <f t="shared" si="365"/>
        <v>ok</v>
      </c>
      <c r="Z679" s="91" t="str">
        <f t="shared" si="366"/>
        <v/>
      </c>
    </row>
    <row r="680" spans="1:26" ht="12" customHeight="1" x14ac:dyDescent="0.5">
      <c r="A680" s="96" t="s">
        <v>1485</v>
      </c>
      <c r="E680" s="86" t="s">
        <v>1134</v>
      </c>
      <c r="F680" s="90">
        <v>23821552.705033928</v>
      </c>
      <c r="G680" s="89">
        <f t="shared" ref="G680:W680" si="377">IF(VLOOKUP($E680,$D$5:$AK$997,3,)=0,0,(VLOOKUP($E680,$D$5:$AK$997,G$1,)/VLOOKUP($E680,$D$5:$AK$997,3,))*$F680)</f>
        <v>3662538.6187309134</v>
      </c>
      <c r="H680" s="89">
        <f t="shared" si="377"/>
        <v>10398.104975668532</v>
      </c>
      <c r="I680" s="89">
        <f t="shared" si="377"/>
        <v>9622174.9950442035</v>
      </c>
      <c r="J680" s="89">
        <f t="shared" si="377"/>
        <v>272430.34182737052</v>
      </c>
      <c r="K680" s="89">
        <f t="shared" si="377"/>
        <v>6409741.3520266563</v>
      </c>
      <c r="L680" s="89">
        <f t="shared" si="377"/>
        <v>547052.37674131233</v>
      </c>
      <c r="M680" s="89">
        <f t="shared" si="377"/>
        <v>1622214.5736324484</v>
      </c>
      <c r="N680" s="89">
        <f t="shared" si="377"/>
        <v>1735634.4822446657</v>
      </c>
      <c r="O680" s="89">
        <f t="shared" si="377"/>
        <v>143129.62303052715</v>
      </c>
      <c r="P680" s="89">
        <f t="shared" si="377"/>
        <v>-2221454.4484228473</v>
      </c>
      <c r="Q680" s="89">
        <f t="shared" si="377"/>
        <v>1988643.2489350531</v>
      </c>
      <c r="R680" s="89">
        <f t="shared" si="377"/>
        <v>17773.861969315483</v>
      </c>
      <c r="S680" s="89">
        <f t="shared" si="377"/>
        <v>11081.340573589674</v>
      </c>
      <c r="T680" s="89">
        <f t="shared" si="377"/>
        <v>8443.3197315079342</v>
      </c>
      <c r="U680" s="89">
        <f t="shared" si="377"/>
        <v>-4883.2436210740016</v>
      </c>
      <c r="V680" s="89">
        <f t="shared" si="377"/>
        <v>-5737.3033263095867</v>
      </c>
      <c r="W680" s="89">
        <f t="shared" si="377"/>
        <v>2371.4613478163396</v>
      </c>
      <c r="X680" s="90">
        <f t="shared" si="364"/>
        <v>23821552.705440816</v>
      </c>
      <c r="Y680" s="87" t="str">
        <f t="shared" si="365"/>
        <v>ok</v>
      </c>
      <c r="Z680" s="91" t="str">
        <f t="shared" si="366"/>
        <v/>
      </c>
    </row>
    <row r="681" spans="1:26" ht="12" hidden="1" customHeight="1" x14ac:dyDescent="0.5">
      <c r="A681" s="96" t="s">
        <v>508</v>
      </c>
      <c r="F681" s="90"/>
      <c r="G681" s="90">
        <f t="shared" ref="G681:U681" si="378">-G982</f>
        <v>0</v>
      </c>
      <c r="H681" s="90"/>
      <c r="I681" s="90">
        <f t="shared" si="378"/>
        <v>0</v>
      </c>
      <c r="J681" s="90">
        <f t="shared" si="378"/>
        <v>0</v>
      </c>
      <c r="K681" s="90">
        <f t="shared" si="378"/>
        <v>0</v>
      </c>
      <c r="L681" s="90">
        <f t="shared" si="378"/>
        <v>0</v>
      </c>
      <c r="M681" s="90">
        <f t="shared" si="378"/>
        <v>0</v>
      </c>
      <c r="N681" s="90">
        <f t="shared" si="378"/>
        <v>0</v>
      </c>
      <c r="O681" s="90">
        <f t="shared" si="378"/>
        <v>0</v>
      </c>
      <c r="P681" s="90">
        <f t="shared" si="378"/>
        <v>0</v>
      </c>
      <c r="Q681" s="90">
        <f t="shared" si="378"/>
        <v>0</v>
      </c>
      <c r="R681" s="90">
        <f t="shared" si="378"/>
        <v>0</v>
      </c>
      <c r="S681" s="90">
        <f t="shared" si="378"/>
        <v>0</v>
      </c>
      <c r="T681" s="90">
        <f t="shared" si="378"/>
        <v>0</v>
      </c>
      <c r="U681" s="90">
        <f t="shared" si="378"/>
        <v>0</v>
      </c>
      <c r="V681" s="90">
        <f>-V982</f>
        <v>0</v>
      </c>
      <c r="W681" s="90">
        <f>-W982</f>
        <v>0</v>
      </c>
      <c r="Y681" s="87" t="str">
        <f>IF(ABS(F681-W681)&lt;0.01,"ok","err")</f>
        <v>ok</v>
      </c>
      <c r="Z681" s="91" t="str">
        <f>IF(Y681="err",W681-F681,"")</f>
        <v/>
      </c>
    </row>
    <row r="682" spans="1:26" ht="12" hidden="1" customHeight="1" x14ac:dyDescent="0.5">
      <c r="A682" s="96" t="s">
        <v>554</v>
      </c>
      <c r="E682" s="86" t="s">
        <v>556</v>
      </c>
      <c r="F682" s="90"/>
      <c r="G682" s="89">
        <f>IF(VLOOKUP($E682,$D$5:$AK$1059,3,)=0,0,(VLOOKUP($E682,$D$5:$AK$1059,G$1,)/VLOOKUP($E682,$D$5:$AK$1059,3,))*$F682)</f>
        <v>0</v>
      </c>
      <c r="H682" s="89"/>
      <c r="I682" s="89">
        <f t="shared" ref="I682:W682" si="379">IF(VLOOKUP($E682,$D$5:$AK$1059,3,)=0,0,(VLOOKUP($E682,$D$5:$AK$1059,I$1,)/VLOOKUP($E682,$D$5:$AK$1059,3,))*$F682)</f>
        <v>0</v>
      </c>
      <c r="J682" s="89">
        <f t="shared" si="379"/>
        <v>0</v>
      </c>
      <c r="K682" s="89">
        <f t="shared" si="379"/>
        <v>0</v>
      </c>
      <c r="L682" s="89">
        <f t="shared" si="379"/>
        <v>0</v>
      </c>
      <c r="M682" s="89">
        <f t="shared" si="379"/>
        <v>0</v>
      </c>
      <c r="N682" s="89">
        <f t="shared" si="379"/>
        <v>0</v>
      </c>
      <c r="O682" s="89">
        <f t="shared" si="379"/>
        <v>0</v>
      </c>
      <c r="P682" s="89">
        <f t="shared" si="379"/>
        <v>0</v>
      </c>
      <c r="Q682" s="89">
        <f t="shared" si="379"/>
        <v>0</v>
      </c>
      <c r="R682" s="89">
        <f t="shared" si="379"/>
        <v>0</v>
      </c>
      <c r="S682" s="89">
        <f t="shared" si="379"/>
        <v>0</v>
      </c>
      <c r="T682" s="89">
        <f t="shared" si="379"/>
        <v>0</v>
      </c>
      <c r="U682" s="89">
        <f t="shared" si="379"/>
        <v>0</v>
      </c>
      <c r="V682" s="89">
        <f t="shared" si="379"/>
        <v>0</v>
      </c>
      <c r="W682" s="89">
        <f t="shared" si="379"/>
        <v>0</v>
      </c>
      <c r="Y682" s="87" t="str">
        <f>IF(ABS(F682-W682)&lt;0.01,"ok","err")</f>
        <v>ok</v>
      </c>
      <c r="Z682" s="91" t="str">
        <f>IF(Y682="err",W682-F682,"")</f>
        <v/>
      </c>
    </row>
    <row r="683" spans="1:26" ht="12" customHeight="1" x14ac:dyDescent="0.5">
      <c r="A683" s="96"/>
      <c r="Y683" s="87"/>
    </row>
    <row r="684" spans="1:26" ht="12" customHeight="1" x14ac:dyDescent="0.5">
      <c r="A684" s="86" t="s">
        <v>420</v>
      </c>
      <c r="D684" s="86" t="s">
        <v>378</v>
      </c>
      <c r="F684" s="91">
        <f t="shared" ref="F684:U684" si="380">SUM(F674:F683)</f>
        <v>1336211707.705034</v>
      </c>
      <c r="G684" s="91">
        <f t="shared" si="380"/>
        <v>559351961.06544709</v>
      </c>
      <c r="H684" s="91">
        <f t="shared" ref="H684" si="381">SUM(H674:H683)</f>
        <v>904916.84263974649</v>
      </c>
      <c r="I684" s="91">
        <f t="shared" si="380"/>
        <v>160440277.14381036</v>
      </c>
      <c r="J684" s="91">
        <f t="shared" si="380"/>
        <v>9927788.6146886703</v>
      </c>
      <c r="K684" s="91">
        <f t="shared" si="380"/>
        <v>126507563.50226063</v>
      </c>
      <c r="L684" s="91">
        <f t="shared" si="380"/>
        <v>5972179.0755347069</v>
      </c>
      <c r="M684" s="91">
        <f t="shared" si="380"/>
        <v>119275701.30930579</v>
      </c>
      <c r="N684" s="91">
        <f t="shared" si="380"/>
        <v>229878385.3482466</v>
      </c>
      <c r="O684" s="91">
        <f t="shared" si="380"/>
        <v>75434190.139851809</v>
      </c>
      <c r="P684" s="91">
        <f t="shared" si="380"/>
        <v>30921073.207255542</v>
      </c>
      <c r="Q684" s="91">
        <f t="shared" si="380"/>
        <v>16898685.067747034</v>
      </c>
      <c r="R684" s="91">
        <f t="shared" si="380"/>
        <v>204375.50850190493</v>
      </c>
      <c r="S684" s="91">
        <f t="shared" si="380"/>
        <v>196764.78543814423</v>
      </c>
      <c r="T684" s="91">
        <f t="shared" si="380"/>
        <v>41914.066120693926</v>
      </c>
      <c r="U684" s="91">
        <f t="shared" si="380"/>
        <v>35244.54210091164</v>
      </c>
      <c r="V684" s="91">
        <f>SUM(V674:V683)</f>
        <v>196302.7753636514</v>
      </c>
      <c r="W684" s="91">
        <f>SUM(W674:W683)</f>
        <v>24384.708324035404</v>
      </c>
      <c r="X684" s="91">
        <f>SUM(G684:W684)</f>
        <v>1336211707.7026374</v>
      </c>
      <c r="Y684" s="87" t="str">
        <f>IF(ABS(F684-X684)&lt;0.01,"ok","err")</f>
        <v>ok</v>
      </c>
      <c r="Z684" s="91" t="str">
        <f>IF(Y684="err",X684-F684,"")</f>
        <v/>
      </c>
    </row>
    <row r="685" spans="1:26" ht="12" customHeight="1" x14ac:dyDescent="0.5">
      <c r="A685" s="96"/>
    </row>
    <row r="686" spans="1:26" ht="12" customHeight="1" x14ac:dyDescent="0.5">
      <c r="A686" s="86" t="s">
        <v>902</v>
      </c>
      <c r="D686" s="86" t="s">
        <v>810</v>
      </c>
      <c r="F686" s="91">
        <f t="shared" ref="F686:U686" si="382">F669-F684</f>
        <v>249974530.73708034</v>
      </c>
      <c r="G686" s="91">
        <f t="shared" si="382"/>
        <v>73002518.433433533</v>
      </c>
      <c r="H686" s="91">
        <f t="shared" ref="H686" si="383">H669-H684</f>
        <v>146303.84472501848</v>
      </c>
      <c r="I686" s="91">
        <f t="shared" si="382"/>
        <v>69507720.427256346</v>
      </c>
      <c r="J686" s="91">
        <f t="shared" si="382"/>
        <v>2413315.5352403969</v>
      </c>
      <c r="K686" s="91">
        <f t="shared" si="382"/>
        <v>47571029.855017126</v>
      </c>
      <c r="L686" s="91">
        <f t="shared" si="382"/>
        <v>3646391.8716333937</v>
      </c>
      <c r="M686" s="91">
        <f t="shared" si="382"/>
        <v>18642682.11124143</v>
      </c>
      <c r="N686" s="91">
        <f t="shared" si="382"/>
        <v>26082244.871691644</v>
      </c>
      <c r="O686" s="91">
        <f t="shared" si="382"/>
        <v>5681910.7932437956</v>
      </c>
      <c r="P686" s="91">
        <f t="shared" si="382"/>
        <v>-10884795.218805823</v>
      </c>
      <c r="Q686" s="91">
        <f t="shared" si="382"/>
        <v>13970336.794899207</v>
      </c>
      <c r="R686" s="91">
        <f t="shared" si="382"/>
        <v>111972.9053270632</v>
      </c>
      <c r="S686" s="91">
        <f t="shared" si="382"/>
        <v>78030.939154622203</v>
      </c>
      <c r="T686" s="91">
        <f t="shared" si="382"/>
        <v>53193.998740083232</v>
      </c>
      <c r="U686" s="91">
        <f t="shared" si="382"/>
        <v>-28498.059632717788</v>
      </c>
      <c r="V686" s="91">
        <f>V669-V684</f>
        <v>-33798.775363651192</v>
      </c>
      <c r="W686" s="91">
        <f>W669-W684</f>
        <v>13970.411675964599</v>
      </c>
      <c r="X686" s="91">
        <f>SUM(G686:W686)</f>
        <v>249974530.7394774</v>
      </c>
      <c r="Y686" s="87" t="str">
        <f>IF(ABS(F686-X686)&lt;0.01,"ok","err")</f>
        <v>ok</v>
      </c>
      <c r="Z686" s="91" t="str">
        <f>IF(Y686="err",X686-F686,"")</f>
        <v/>
      </c>
    </row>
    <row r="688" spans="1:26" ht="12" customHeight="1" x14ac:dyDescent="0.5">
      <c r="A688" s="86" t="s">
        <v>400</v>
      </c>
      <c r="F688" s="91">
        <f t="shared" ref="F688:W688" si="384">F174</f>
        <v>5197832023.3399992</v>
      </c>
      <c r="G688" s="91">
        <f t="shared" si="384"/>
        <v>2446199408.7285142</v>
      </c>
      <c r="H688" s="91">
        <f t="shared" ref="H688" si="385">H174</f>
        <v>11340629.922834281</v>
      </c>
      <c r="I688" s="91">
        <f t="shared" si="384"/>
        <v>610148565.20987535</v>
      </c>
      <c r="J688" s="91">
        <f t="shared" si="384"/>
        <v>38738639.515784226</v>
      </c>
      <c r="K688" s="91">
        <f t="shared" si="384"/>
        <v>458864450.23790866</v>
      </c>
      <c r="L688" s="91">
        <f t="shared" si="384"/>
        <v>19887373.090099089</v>
      </c>
      <c r="M688" s="91">
        <f t="shared" si="384"/>
        <v>424829680.24150598</v>
      </c>
      <c r="N688" s="91">
        <f t="shared" si="384"/>
        <v>740452252.7798897</v>
      </c>
      <c r="O688" s="91">
        <f t="shared" si="384"/>
        <v>225535968.00398141</v>
      </c>
      <c r="P688" s="91">
        <f t="shared" si="384"/>
        <v>104333029.76968977</v>
      </c>
      <c r="Q688" s="91">
        <f t="shared" si="384"/>
        <v>113340011.04474315</v>
      </c>
      <c r="R688" s="91">
        <f t="shared" si="384"/>
        <v>398642.54509885528</v>
      </c>
      <c r="S688" s="91">
        <f t="shared" si="384"/>
        <v>615301.08940570417</v>
      </c>
      <c r="T688" s="91">
        <f t="shared" si="384"/>
        <v>174628.96328485516</v>
      </c>
      <c r="U688" s="91">
        <f t="shared" si="384"/>
        <v>105538.39738445418</v>
      </c>
      <c r="V688" s="91">
        <f t="shared" si="384"/>
        <v>2576969.3631635425</v>
      </c>
      <c r="W688" s="91">
        <f t="shared" si="384"/>
        <v>290934.43683645804</v>
      </c>
      <c r="X688" s="91">
        <f>SUM(G688:W688)</f>
        <v>5197832023.3400011</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1129</v>
      </c>
    </row>
    <row r="704" spans="1:26" ht="12" customHeight="1" x14ac:dyDescent="0.5">
      <c r="A704" s="86" t="s">
        <v>1130</v>
      </c>
      <c r="F704" s="91">
        <f t="shared" ref="F704:W704" si="386">F669</f>
        <v>1586186238.4421144</v>
      </c>
      <c r="G704" s="91">
        <f t="shared" si="386"/>
        <v>632354479.49888062</v>
      </c>
      <c r="H704" s="91">
        <f t="shared" ref="H704" si="387">H669</f>
        <v>1051220.687364765</v>
      </c>
      <c r="I704" s="91">
        <f t="shared" si="386"/>
        <v>229947997.57106671</v>
      </c>
      <c r="J704" s="91">
        <f t="shared" si="386"/>
        <v>12341104.149929067</v>
      </c>
      <c r="K704" s="91">
        <f t="shared" si="386"/>
        <v>174078593.35727775</v>
      </c>
      <c r="L704" s="91">
        <f t="shared" si="386"/>
        <v>9618570.9471681006</v>
      </c>
      <c r="M704" s="91">
        <f t="shared" si="386"/>
        <v>137918383.42054722</v>
      </c>
      <c r="N704" s="91">
        <f t="shared" si="386"/>
        <v>255960630.21993825</v>
      </c>
      <c r="O704" s="91">
        <f t="shared" si="386"/>
        <v>81116100.933095604</v>
      </c>
      <c r="P704" s="91">
        <f t="shared" si="386"/>
        <v>20036277.988449719</v>
      </c>
      <c r="Q704" s="91">
        <f t="shared" si="386"/>
        <v>30869021.862646241</v>
      </c>
      <c r="R704" s="91">
        <f t="shared" si="386"/>
        <v>316348.41382896813</v>
      </c>
      <c r="S704" s="91">
        <f t="shared" si="386"/>
        <v>274795.72459276643</v>
      </c>
      <c r="T704" s="91">
        <f t="shared" si="386"/>
        <v>95108.064860777158</v>
      </c>
      <c r="U704" s="91">
        <f t="shared" si="386"/>
        <v>6746.4824681938508</v>
      </c>
      <c r="V704" s="91">
        <f t="shared" si="386"/>
        <v>162504.0000000002</v>
      </c>
      <c r="W704" s="91">
        <f t="shared" si="386"/>
        <v>38355.120000000003</v>
      </c>
      <c r="X704" s="91">
        <f>SUM(G704:W704)</f>
        <v>1586186238.4421148</v>
      </c>
      <c r="Y704" s="87" t="str">
        <f>IF(ABS(F704-X704)&lt;0.01,"ok","err")</f>
        <v>ok</v>
      </c>
      <c r="Z704" s="91" t="str">
        <f>IF(Y704="err",X704-F704,"")</f>
        <v/>
      </c>
    </row>
    <row r="706" spans="1:26" ht="12" customHeight="1" x14ac:dyDescent="0.5">
      <c r="A706" s="86" t="s">
        <v>415</v>
      </c>
      <c r="F706" s="91">
        <f t="shared" ref="F706:W706" si="388">F674+F675+F676+F677+F678+F679+F681+F682</f>
        <v>1312390155</v>
      </c>
      <c r="G706" s="91">
        <f t="shared" si="388"/>
        <v>555689422.44671619</v>
      </c>
      <c r="H706" s="91">
        <f t="shared" ref="H706" si="389">H674+H675+H676+H677+H678+H679+H681+H682</f>
        <v>894518.73766407801</v>
      </c>
      <c r="I706" s="91">
        <f t="shared" si="388"/>
        <v>150818102.14876616</v>
      </c>
      <c r="J706" s="91">
        <f t="shared" si="388"/>
        <v>9655358.2728613</v>
      </c>
      <c r="K706" s="91">
        <f t="shared" si="388"/>
        <v>120097822.15023397</v>
      </c>
      <c r="L706" s="91">
        <f t="shared" si="388"/>
        <v>5425126.6987933945</v>
      </c>
      <c r="M706" s="91">
        <f t="shared" si="388"/>
        <v>117653486.73567334</v>
      </c>
      <c r="N706" s="91">
        <f t="shared" si="388"/>
        <v>228142750.86600193</v>
      </c>
      <c r="O706" s="91">
        <f t="shared" si="388"/>
        <v>75291060.51682128</v>
      </c>
      <c r="P706" s="91">
        <f t="shared" si="388"/>
        <v>33142527.655678388</v>
      </c>
      <c r="Q706" s="91">
        <f t="shared" si="388"/>
        <v>14910041.818811983</v>
      </c>
      <c r="R706" s="91">
        <f t="shared" si="388"/>
        <v>186601.64653258945</v>
      </c>
      <c r="S706" s="91">
        <f t="shared" si="388"/>
        <v>185683.44486455456</v>
      </c>
      <c r="T706" s="91">
        <f t="shared" si="388"/>
        <v>33470.746389185995</v>
      </c>
      <c r="U706" s="91">
        <f t="shared" si="388"/>
        <v>40127.785721985638</v>
      </c>
      <c r="V706" s="91">
        <f t="shared" si="388"/>
        <v>202040.078689961</v>
      </c>
      <c r="W706" s="91">
        <f t="shared" si="388"/>
        <v>22013.246976219063</v>
      </c>
      <c r="X706" s="91">
        <f>SUM(G706:W706)</f>
        <v>1312390154.9971962</v>
      </c>
      <c r="Y706" s="87" t="str">
        <f>IF(ABS(F706-X706)&lt;0.01,"ok","err")</f>
        <v>ok</v>
      </c>
      <c r="Z706" s="91" t="str">
        <f>IF(Y706="err",X706-F706,"")</f>
        <v/>
      </c>
    </row>
    <row r="708" spans="1:26" ht="12" customHeight="1" x14ac:dyDescent="0.5">
      <c r="A708" s="86" t="s">
        <v>1131</v>
      </c>
      <c r="D708" s="86" t="s">
        <v>1132</v>
      </c>
      <c r="F708" s="211">
        <f t="shared" ref="F708:W708" si="390">F636</f>
        <v>109640428.99999999</v>
      </c>
      <c r="G708" s="211">
        <f t="shared" si="390"/>
        <v>51426298.213818833</v>
      </c>
      <c r="H708" s="211">
        <f t="shared" ref="H708" si="391">H636</f>
        <v>85048.025694382683</v>
      </c>
      <c r="I708" s="211">
        <f t="shared" si="390"/>
        <v>12822948.388816658</v>
      </c>
      <c r="J708" s="211">
        <f t="shared" si="390"/>
        <v>808413.12691875722</v>
      </c>
      <c r="K708" s="211">
        <f t="shared" si="390"/>
        <v>9810884.4043136351</v>
      </c>
      <c r="L708" s="211">
        <f t="shared" si="390"/>
        <v>423675.66821378865</v>
      </c>
      <c r="M708" s="211">
        <f t="shared" si="390"/>
        <v>9086125.1632384751</v>
      </c>
      <c r="N708" s="211">
        <f t="shared" si="390"/>
        <v>15857524.886993198</v>
      </c>
      <c r="O708" s="211">
        <f t="shared" si="390"/>
        <v>4838726.1642371649</v>
      </c>
      <c r="P708" s="211">
        <f t="shared" si="390"/>
        <v>2201917.407755428</v>
      </c>
      <c r="Q708" s="211">
        <f t="shared" si="390"/>
        <v>2255127.9892264996</v>
      </c>
      <c r="R708" s="211">
        <f t="shared" si="390"/>
        <v>7266.0885738606576</v>
      </c>
      <c r="S708" s="211">
        <f t="shared" si="390"/>
        <v>12750.140934078341</v>
      </c>
      <c r="T708" s="211">
        <f t="shared" si="390"/>
        <v>3453.929111887031</v>
      </c>
      <c r="U708" s="211">
        <f t="shared" si="390"/>
        <v>269.4021533451604</v>
      </c>
      <c r="V708" s="211">
        <f t="shared" si="390"/>
        <v>0</v>
      </c>
      <c r="W708" s="211">
        <f t="shared" si="390"/>
        <v>0</v>
      </c>
      <c r="X708" s="91">
        <f>SUM(G708:W708)</f>
        <v>109640429</v>
      </c>
      <c r="Y708" s="87" t="str">
        <f>IF(ABS(F708-X708)&lt;0.01,"ok","err")</f>
        <v>ok</v>
      </c>
      <c r="Z708" s="91" t="str">
        <f>IF(Y708="err",X708-F708,"")</f>
        <v/>
      </c>
    </row>
    <row r="710" spans="1:26" ht="12" customHeight="1" x14ac:dyDescent="0.5">
      <c r="A710" s="86" t="s">
        <v>1133</v>
      </c>
      <c r="D710" s="86" t="s">
        <v>1134</v>
      </c>
      <c r="F710" s="91">
        <f>F704-F706-F708</f>
        <v>164155654.44211435</v>
      </c>
      <c r="G710" s="91">
        <f t="shared" ref="G710:W710" si="392">G704-G706-G708</f>
        <v>25238758.838345602</v>
      </c>
      <c r="H710" s="91">
        <f t="shared" ref="H710" si="393">H704-H706-H708</f>
        <v>71653.924006304282</v>
      </c>
      <c r="I710" s="91">
        <f t="shared" si="392"/>
        <v>66306947.033483893</v>
      </c>
      <c r="J710" s="91">
        <f>J704-J706-J708</f>
        <v>1877332.7501490097</v>
      </c>
      <c r="K710" s="91">
        <f>K704-K706-K708</f>
        <v>44169886.802730143</v>
      </c>
      <c r="L710" s="91">
        <f>L704-L706-L708</f>
        <v>3769768.5801609177</v>
      </c>
      <c r="M710" s="91">
        <f t="shared" si="392"/>
        <v>11178771.521635404</v>
      </c>
      <c r="N710" s="91">
        <f t="shared" si="392"/>
        <v>11960354.466943117</v>
      </c>
      <c r="O710" s="91">
        <f t="shared" si="392"/>
        <v>986314.25203715917</v>
      </c>
      <c r="P710" s="91">
        <f>P704-P706-P708</f>
        <v>-15308167.074984096</v>
      </c>
      <c r="Q710" s="91">
        <f>Q704-Q706-Q708</f>
        <v>13703852.054607758</v>
      </c>
      <c r="R710" s="91">
        <f t="shared" si="392"/>
        <v>122480.67872251802</v>
      </c>
      <c r="S710" s="91">
        <f t="shared" si="392"/>
        <v>76362.138794133527</v>
      </c>
      <c r="T710" s="91">
        <f t="shared" si="392"/>
        <v>58183.389359704131</v>
      </c>
      <c r="U710" s="91">
        <f t="shared" si="392"/>
        <v>-33650.705407136949</v>
      </c>
      <c r="V710" s="91">
        <f t="shared" si="392"/>
        <v>-39536.078689960792</v>
      </c>
      <c r="W710" s="91">
        <f t="shared" si="392"/>
        <v>16341.87302378094</v>
      </c>
      <c r="X710" s="91">
        <f>SUM(G710:W710)</f>
        <v>164155654.44491825</v>
      </c>
      <c r="Y710" s="87" t="str">
        <f>IF(ABS(F710-X710)&lt;0.01,"ok","err")</f>
        <v>ok</v>
      </c>
      <c r="Z710" s="91" t="str">
        <f>IF(Y710="err",X710-F710,"")</f>
        <v/>
      </c>
    </row>
    <row r="711" spans="1:26" ht="13.5" customHeight="1" x14ac:dyDescent="0.5"/>
    <row r="713" spans="1:26" ht="12" customHeight="1" x14ac:dyDescent="0.5">
      <c r="A713" s="288" t="s">
        <v>1487</v>
      </c>
    </row>
    <row r="715" spans="1:26" ht="12" customHeight="1" x14ac:dyDescent="0.5">
      <c r="A715" s="288" t="s">
        <v>411</v>
      </c>
    </row>
    <row r="717" spans="1:26" ht="12" customHeight="1" x14ac:dyDescent="0.5">
      <c r="A717" s="86" t="s">
        <v>498</v>
      </c>
      <c r="F717" s="91">
        <f t="shared" ref="F717:W717" si="394">F669</f>
        <v>1586186238.4421144</v>
      </c>
      <c r="G717" s="91">
        <f t="shared" si="394"/>
        <v>632354479.49888062</v>
      </c>
      <c r="H717" s="91">
        <f t="shared" si="394"/>
        <v>1051220.687364765</v>
      </c>
      <c r="I717" s="91">
        <f t="shared" si="394"/>
        <v>229947997.57106671</v>
      </c>
      <c r="J717" s="91">
        <f t="shared" si="394"/>
        <v>12341104.149929067</v>
      </c>
      <c r="K717" s="91">
        <f t="shared" si="394"/>
        <v>174078593.35727775</v>
      </c>
      <c r="L717" s="91">
        <f t="shared" si="394"/>
        <v>9618570.9471681006</v>
      </c>
      <c r="M717" s="91">
        <f t="shared" si="394"/>
        <v>137918383.42054722</v>
      </c>
      <c r="N717" s="91">
        <f t="shared" si="394"/>
        <v>255960630.21993825</v>
      </c>
      <c r="O717" s="91">
        <f t="shared" si="394"/>
        <v>81116100.933095604</v>
      </c>
      <c r="P717" s="91">
        <f t="shared" si="394"/>
        <v>20036277.988449719</v>
      </c>
      <c r="Q717" s="91">
        <f t="shared" si="394"/>
        <v>30869021.862646241</v>
      </c>
      <c r="R717" s="91">
        <f t="shared" si="394"/>
        <v>316348.41382896813</v>
      </c>
      <c r="S717" s="91">
        <f t="shared" si="394"/>
        <v>274795.72459276643</v>
      </c>
      <c r="T717" s="91">
        <f t="shared" si="394"/>
        <v>95108.064860777158</v>
      </c>
      <c r="U717" s="91">
        <f t="shared" si="394"/>
        <v>6746.4824681938508</v>
      </c>
      <c r="V717" s="91">
        <f t="shared" si="394"/>
        <v>162504.0000000002</v>
      </c>
      <c r="W717" s="91">
        <f t="shared" si="394"/>
        <v>38355.120000000003</v>
      </c>
      <c r="X717" s="91">
        <f>SUM(G717:W717)</f>
        <v>1586186238.4421148</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2172</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2175</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2173</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2174</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95">SUM(F717:F723)</f>
        <v>1586186238.4421144</v>
      </c>
      <c r="G725" s="91">
        <f t="shared" si="395"/>
        <v>632354479.49888062</v>
      </c>
      <c r="H725" s="91">
        <f t="shared" si="395"/>
        <v>1051220.687364765</v>
      </c>
      <c r="I725" s="91">
        <f t="shared" si="395"/>
        <v>229947997.57106671</v>
      </c>
      <c r="J725" s="91">
        <f t="shared" si="395"/>
        <v>12341104.149929067</v>
      </c>
      <c r="K725" s="91">
        <f t="shared" si="395"/>
        <v>174078593.35727775</v>
      </c>
      <c r="L725" s="91">
        <f t="shared" si="395"/>
        <v>9618570.9471681006</v>
      </c>
      <c r="M725" s="91">
        <f t="shared" si="395"/>
        <v>137918383.42054722</v>
      </c>
      <c r="N725" s="91">
        <f t="shared" si="395"/>
        <v>255960630.21993825</v>
      </c>
      <c r="O725" s="91">
        <f t="shared" si="395"/>
        <v>81116100.933095604</v>
      </c>
      <c r="P725" s="91">
        <f t="shared" si="395"/>
        <v>20036277.988449719</v>
      </c>
      <c r="Q725" s="91">
        <f t="shared" si="395"/>
        <v>30869021.862646241</v>
      </c>
      <c r="R725" s="91">
        <f t="shared" si="395"/>
        <v>316348.41382896813</v>
      </c>
      <c r="S725" s="91">
        <f t="shared" si="395"/>
        <v>274795.72459276643</v>
      </c>
      <c r="T725" s="91">
        <f t="shared" si="395"/>
        <v>95108.064860777158</v>
      </c>
      <c r="U725" s="91">
        <f t="shared" si="395"/>
        <v>6746.4824681938508</v>
      </c>
      <c r="V725" s="91">
        <f t="shared" si="395"/>
        <v>162504.0000000002</v>
      </c>
      <c r="W725" s="91">
        <f t="shared" si="395"/>
        <v>38355.120000000003</v>
      </c>
      <c r="X725" s="91">
        <f>SUM(G725:W725)</f>
        <v>1586186238.4421148</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96">F231</f>
        <v>892295073</v>
      </c>
      <c r="G730" s="91">
        <f t="shared" si="396"/>
        <v>368559285.05166757</v>
      </c>
      <c r="H730" s="91">
        <f t="shared" ref="H730" si="397">H231</f>
        <v>622964.87766435475</v>
      </c>
      <c r="I730" s="91">
        <f t="shared" si="396"/>
        <v>102777582.98476294</v>
      </c>
      <c r="J730" s="91">
        <f t="shared" si="396"/>
        <v>6577092.3423008164</v>
      </c>
      <c r="K730" s="91">
        <f t="shared" si="396"/>
        <v>80219148.685030729</v>
      </c>
      <c r="L730" s="91">
        <f t="shared" si="396"/>
        <v>3698946.5650880304</v>
      </c>
      <c r="M730" s="91">
        <f t="shared" si="396"/>
        <v>80147030.111942157</v>
      </c>
      <c r="N730" s="91">
        <f t="shared" si="396"/>
        <v>161369012.01558807</v>
      </c>
      <c r="O730" s="91">
        <f t="shared" si="396"/>
        <v>54271582.06786228</v>
      </c>
      <c r="P730" s="91">
        <f t="shared" si="396"/>
        <v>23902042.703641675</v>
      </c>
      <c r="Q730" s="91">
        <f t="shared" si="396"/>
        <v>9699242.4408415016</v>
      </c>
      <c r="R730" s="91">
        <f t="shared" si="396"/>
        <v>167473.15473745018</v>
      </c>
      <c r="S730" s="91">
        <f t="shared" si="396"/>
        <v>140704.28056896492</v>
      </c>
      <c r="T730" s="91">
        <f t="shared" si="396"/>
        <v>22987.648508427035</v>
      </c>
      <c r="U730" s="91">
        <f t="shared" si="396"/>
        <v>21464.069794866617</v>
      </c>
      <c r="V730" s="91">
        <f t="shared" si="396"/>
        <v>91514</v>
      </c>
      <c r="W730" s="91">
        <f t="shared" si="396"/>
        <v>7000</v>
      </c>
      <c r="X730" s="91">
        <f>SUM(G730:W730)</f>
        <v>892295072.99999988</v>
      </c>
      <c r="Y730" s="87" t="str">
        <f>IF(ABS(F730-X730)&lt;0.01,"ok","err")</f>
        <v>ok</v>
      </c>
      <c r="Z730" s="91" t="str">
        <f>IF(Y730="err",X730-F730,"")</f>
        <v/>
      </c>
    </row>
    <row r="731" spans="1:26" ht="12" customHeight="1" x14ac:dyDescent="0.5">
      <c r="A731" s="96" t="s">
        <v>417</v>
      </c>
      <c r="F731" s="90">
        <f t="shared" ref="F731:W731" si="398">F345</f>
        <v>370531144.99999994</v>
      </c>
      <c r="G731" s="90">
        <f t="shared" si="398"/>
        <v>163885507.33045521</v>
      </c>
      <c r="H731" s="90">
        <f t="shared" ref="H731" si="399">H345</f>
        <v>233110.82257238447</v>
      </c>
      <c r="I731" s="90">
        <f t="shared" si="398"/>
        <v>42244784.497978106</v>
      </c>
      <c r="J731" s="90">
        <f t="shared" si="398"/>
        <v>2712858.1186784049</v>
      </c>
      <c r="K731" s="90">
        <f t="shared" si="398"/>
        <v>35444201.894145571</v>
      </c>
      <c r="L731" s="90">
        <f t="shared" si="398"/>
        <v>1534704.0192330964</v>
      </c>
      <c r="M731" s="90">
        <f t="shared" si="398"/>
        <v>33399476.380628955</v>
      </c>
      <c r="N731" s="90">
        <f t="shared" si="398"/>
        <v>59606091.616011411</v>
      </c>
      <c r="O731" s="90">
        <f t="shared" si="398"/>
        <v>18832387.238158166</v>
      </c>
      <c r="P731" s="90">
        <f t="shared" si="398"/>
        <v>8245202.8211647803</v>
      </c>
      <c r="Q731" s="90">
        <f t="shared" si="398"/>
        <v>4191349.326172214</v>
      </c>
      <c r="R731" s="90">
        <f t="shared" si="398"/>
        <v>15844.111319890933</v>
      </c>
      <c r="S731" s="90">
        <f t="shared" si="398"/>
        <v>39219.398935763937</v>
      </c>
      <c r="T731" s="90">
        <f t="shared" si="398"/>
        <v>8921.911041793699</v>
      </c>
      <c r="U731" s="90">
        <f t="shared" si="398"/>
        <v>16554.52070089243</v>
      </c>
      <c r="V731" s="90">
        <f t="shared" si="398"/>
        <v>106487.13</v>
      </c>
      <c r="W731" s="90">
        <f t="shared" si="398"/>
        <v>14443.86</v>
      </c>
      <c r="X731" s="90">
        <f>SUM(G731:W731)</f>
        <v>370531144.99719661</v>
      </c>
      <c r="Y731" s="87" t="str">
        <f>IF(ABS(F731-X731)&lt;0.01,"ok","err")</f>
        <v>ok</v>
      </c>
      <c r="Z731" s="91" t="str">
        <f>IF(Y731="err",X731-F731,"")</f>
        <v/>
      </c>
    </row>
    <row r="732" spans="1:26" ht="12" customHeight="1" x14ac:dyDescent="0.5">
      <c r="A732" s="96" t="s">
        <v>261</v>
      </c>
      <c r="F732" s="90">
        <f t="shared" ref="F732:W732" si="400">F402</f>
        <v>0</v>
      </c>
      <c r="G732" s="90">
        <f t="shared" si="400"/>
        <v>0</v>
      </c>
      <c r="H732" s="90">
        <f t="shared" ref="H732" si="401">H402</f>
        <v>0</v>
      </c>
      <c r="I732" s="90">
        <f t="shared" si="400"/>
        <v>0</v>
      </c>
      <c r="J732" s="90">
        <f t="shared" si="400"/>
        <v>0</v>
      </c>
      <c r="K732" s="90">
        <f t="shared" si="400"/>
        <v>0</v>
      </c>
      <c r="L732" s="90">
        <f t="shared" si="400"/>
        <v>0</v>
      </c>
      <c r="M732" s="90">
        <f t="shared" si="400"/>
        <v>0</v>
      </c>
      <c r="N732" s="90">
        <f t="shared" si="400"/>
        <v>0</v>
      </c>
      <c r="O732" s="90">
        <f t="shared" si="400"/>
        <v>0</v>
      </c>
      <c r="P732" s="90">
        <f t="shared" si="400"/>
        <v>0</v>
      </c>
      <c r="Q732" s="90">
        <f t="shared" si="400"/>
        <v>0</v>
      </c>
      <c r="R732" s="90">
        <f t="shared" si="400"/>
        <v>0</v>
      </c>
      <c r="S732" s="90">
        <f t="shared" si="400"/>
        <v>0</v>
      </c>
      <c r="T732" s="90">
        <f t="shared" si="400"/>
        <v>0</v>
      </c>
      <c r="U732" s="90">
        <f t="shared" si="400"/>
        <v>0</v>
      </c>
      <c r="V732" s="90">
        <f t="shared" si="400"/>
        <v>0</v>
      </c>
      <c r="W732" s="90">
        <f t="shared" si="400"/>
        <v>0</v>
      </c>
      <c r="X732" s="90">
        <f t="shared" ref="X732:X738" si="402">SUM(G732:W732)</f>
        <v>0</v>
      </c>
      <c r="Y732" s="87" t="str">
        <f t="shared" ref="Y732:Y738" si="403">IF(ABS(F732-X732)&lt;0.01,"ok","err")</f>
        <v>ok</v>
      </c>
      <c r="Z732" s="91" t="str">
        <f t="shared" ref="Z732:Z738" si="404">IF(Y732="err",X732-F732,"")</f>
        <v/>
      </c>
    </row>
    <row r="733" spans="1:26" ht="12" customHeight="1" x14ac:dyDescent="0.5">
      <c r="A733" s="96" t="s">
        <v>418</v>
      </c>
      <c r="E733" s="86" t="s">
        <v>399</v>
      </c>
      <c r="F733" s="90">
        <f t="shared" ref="F733:W733" si="405">F677</f>
        <v>35914758</v>
      </c>
      <c r="G733" s="90">
        <f t="shared" si="405"/>
        <v>16842550.50297663</v>
      </c>
      <c r="H733" s="90">
        <f t="shared" ref="H733" si="406">H677</f>
        <v>27855.376134083268</v>
      </c>
      <c r="I733" s="90">
        <f t="shared" si="405"/>
        <v>4199400.9097359888</v>
      </c>
      <c r="J733" s="90">
        <f t="shared" si="405"/>
        <v>264768.15207863163</v>
      </c>
      <c r="K733" s="90">
        <f t="shared" si="405"/>
        <v>3213110.8138611987</v>
      </c>
      <c r="L733" s="90">
        <f t="shared" si="405"/>
        <v>138732.56826273439</v>
      </c>
      <c r="M733" s="90">
        <f t="shared" si="405"/>
        <v>2975845.0414199485</v>
      </c>
      <c r="N733" s="90">
        <f t="shared" si="405"/>
        <v>5193537.8875708571</v>
      </c>
      <c r="O733" s="90">
        <f t="shared" si="405"/>
        <v>1584716.3373163824</v>
      </c>
      <c r="P733" s="90">
        <f t="shared" si="405"/>
        <v>721164.58941585035</v>
      </c>
      <c r="Q733" s="90">
        <f t="shared" si="405"/>
        <v>738708.30467447173</v>
      </c>
      <c r="R733" s="90">
        <f t="shared" si="405"/>
        <v>2379.8223256767028</v>
      </c>
      <c r="S733" s="90">
        <f t="shared" si="405"/>
        <v>4172.4954314631996</v>
      </c>
      <c r="T733" s="90">
        <f t="shared" si="405"/>
        <v>1131.2058809241596</v>
      </c>
      <c r="U733" s="90">
        <f t="shared" si="405"/>
        <v>2075.6572489719283</v>
      </c>
      <c r="V733" s="90">
        <f t="shared" si="405"/>
        <v>4038.9486899610001</v>
      </c>
      <c r="W733" s="90">
        <f t="shared" si="405"/>
        <v>569.38697621906249</v>
      </c>
      <c r="X733" s="90">
        <f t="shared" si="402"/>
        <v>35914757.999999985</v>
      </c>
      <c r="Y733" s="87" t="str">
        <f t="shared" si="403"/>
        <v>ok</v>
      </c>
      <c r="Z733" s="91" t="str">
        <f t="shared" si="404"/>
        <v/>
      </c>
    </row>
    <row r="734" spans="1:26" ht="12" customHeight="1" x14ac:dyDescent="0.5">
      <c r="A734" s="96" t="s">
        <v>419</v>
      </c>
      <c r="F734" s="90">
        <f t="shared" ref="F734:W734" si="407">F516</f>
        <v>13649179.000000002</v>
      </c>
      <c r="G734" s="90">
        <f t="shared" si="407"/>
        <v>6402079.5616167597</v>
      </c>
      <c r="H734" s="90">
        <f t="shared" ref="H734" si="408">H516</f>
        <v>10587.661293255509</v>
      </c>
      <c r="I734" s="90">
        <f t="shared" si="407"/>
        <v>1596333.7562891166</v>
      </c>
      <c r="J734" s="90">
        <f t="shared" si="407"/>
        <v>100639.65980344567</v>
      </c>
      <c r="K734" s="90">
        <f t="shared" si="407"/>
        <v>1221360.7571964639</v>
      </c>
      <c r="L734" s="90">
        <f t="shared" si="407"/>
        <v>52743.54620953383</v>
      </c>
      <c r="M734" s="90">
        <f t="shared" si="407"/>
        <v>1131135.2016822752</v>
      </c>
      <c r="N734" s="90">
        <f t="shared" si="407"/>
        <v>1974109.3468315867</v>
      </c>
      <c r="O734" s="90">
        <f t="shared" si="407"/>
        <v>602374.87348445598</v>
      </c>
      <c r="P734" s="90">
        <f t="shared" si="407"/>
        <v>274117.54145607934</v>
      </c>
      <c r="Q734" s="90">
        <f t="shared" si="407"/>
        <v>280741.74712379649</v>
      </c>
      <c r="R734" s="90">
        <f t="shared" si="407"/>
        <v>904.55814957162227</v>
      </c>
      <c r="S734" s="90">
        <f t="shared" si="407"/>
        <v>1587.2699283624884</v>
      </c>
      <c r="T734" s="90">
        <f t="shared" si="407"/>
        <v>429.98095804109914</v>
      </c>
      <c r="U734" s="90">
        <f t="shared" si="407"/>
        <v>33.537977254663453</v>
      </c>
      <c r="V734" s="90">
        <f t="shared" si="407"/>
        <v>0</v>
      </c>
      <c r="W734" s="90">
        <f t="shared" si="407"/>
        <v>0</v>
      </c>
      <c r="X734" s="90">
        <f t="shared" si="402"/>
        <v>13649179</v>
      </c>
      <c r="Y734" s="87" t="str">
        <f t="shared" si="403"/>
        <v>ok</v>
      </c>
      <c r="Z734" s="91" t="str">
        <f t="shared" si="404"/>
        <v/>
      </c>
    </row>
    <row r="735" spans="1:26" ht="12" customHeight="1" x14ac:dyDescent="0.5">
      <c r="A735" s="86" t="s">
        <v>899</v>
      </c>
      <c r="F735" s="90">
        <f t="shared" ref="F735:W735" si="409">F679</f>
        <v>0</v>
      </c>
      <c r="G735" s="90">
        <f t="shared" si="409"/>
        <v>0</v>
      </c>
      <c r="H735" s="90">
        <f t="shared" ref="H735" si="410">H679</f>
        <v>0</v>
      </c>
      <c r="I735" s="90">
        <f t="shared" si="409"/>
        <v>0</v>
      </c>
      <c r="J735" s="90">
        <f t="shared" si="409"/>
        <v>0</v>
      </c>
      <c r="K735" s="90">
        <f t="shared" si="409"/>
        <v>0</v>
      </c>
      <c r="L735" s="90">
        <f t="shared" si="409"/>
        <v>0</v>
      </c>
      <c r="M735" s="90">
        <f t="shared" si="409"/>
        <v>0</v>
      </c>
      <c r="N735" s="90">
        <f t="shared" si="409"/>
        <v>0</v>
      </c>
      <c r="O735" s="90">
        <f t="shared" si="409"/>
        <v>0</v>
      </c>
      <c r="P735" s="90">
        <f t="shared" si="409"/>
        <v>0</v>
      </c>
      <c r="Q735" s="90">
        <f t="shared" si="409"/>
        <v>0</v>
      </c>
      <c r="R735" s="90">
        <f t="shared" si="409"/>
        <v>0</v>
      </c>
      <c r="S735" s="90">
        <f t="shared" si="409"/>
        <v>0</v>
      </c>
      <c r="T735" s="90">
        <f t="shared" si="409"/>
        <v>0</v>
      </c>
      <c r="U735" s="90">
        <f t="shared" si="409"/>
        <v>0</v>
      </c>
      <c r="V735" s="90">
        <f t="shared" si="409"/>
        <v>0</v>
      </c>
      <c r="W735" s="90">
        <f t="shared" si="409"/>
        <v>0</v>
      </c>
      <c r="X735" s="90">
        <f t="shared" si="402"/>
        <v>0</v>
      </c>
      <c r="Y735" s="87" t="str">
        <f t="shared" si="403"/>
        <v>ok</v>
      </c>
      <c r="Z735" s="91" t="str">
        <f t="shared" si="404"/>
        <v/>
      </c>
    </row>
    <row r="736" spans="1:26" ht="12" customHeight="1" x14ac:dyDescent="0.5">
      <c r="A736" s="96" t="s">
        <v>1485</v>
      </c>
      <c r="E736" s="86" t="s">
        <v>1134</v>
      </c>
      <c r="F736" s="90">
        <f>F680</f>
        <v>23821552.705033928</v>
      </c>
      <c r="G736" s="89">
        <f t="shared" ref="G736:W736" si="411">IF(VLOOKUP($E736,$D$5:$AK$1019,3,)=0,0,(VLOOKUP($E736,$D$5:$AK$1019,G$1,)/VLOOKUP($E736,$D$5:$AK$1019,3,))*$F736)</f>
        <v>3662538.6187309134</v>
      </c>
      <c r="H736" s="89">
        <f t="shared" si="411"/>
        <v>10398.104975668532</v>
      </c>
      <c r="I736" s="89">
        <f t="shared" si="411"/>
        <v>9622174.9950442035</v>
      </c>
      <c r="J736" s="89">
        <f t="shared" si="411"/>
        <v>272430.34182737052</v>
      </c>
      <c r="K736" s="89">
        <f t="shared" si="411"/>
        <v>6409741.3520266563</v>
      </c>
      <c r="L736" s="89">
        <f t="shared" si="411"/>
        <v>547052.37674131233</v>
      </c>
      <c r="M736" s="89">
        <f t="shared" si="411"/>
        <v>1622214.5736324484</v>
      </c>
      <c r="N736" s="89">
        <f t="shared" si="411"/>
        <v>1735634.4822446657</v>
      </c>
      <c r="O736" s="89">
        <f t="shared" si="411"/>
        <v>143129.62303052715</v>
      </c>
      <c r="P736" s="89">
        <f t="shared" si="411"/>
        <v>-2221454.4484228473</v>
      </c>
      <c r="Q736" s="89">
        <f t="shared" si="411"/>
        <v>1988643.2489350531</v>
      </c>
      <c r="R736" s="89">
        <f t="shared" si="411"/>
        <v>17773.861969315483</v>
      </c>
      <c r="S736" s="89">
        <f t="shared" si="411"/>
        <v>11081.340573589674</v>
      </c>
      <c r="T736" s="89">
        <f t="shared" si="411"/>
        <v>8443.3197315079342</v>
      </c>
      <c r="U736" s="89">
        <f t="shared" si="411"/>
        <v>-4883.2436210740016</v>
      </c>
      <c r="V736" s="89">
        <f t="shared" si="411"/>
        <v>-5737.3033263095867</v>
      </c>
      <c r="W736" s="89">
        <f t="shared" si="411"/>
        <v>2371.4613478163396</v>
      </c>
      <c r="X736" s="90">
        <f t="shared" si="402"/>
        <v>23821552.705440816</v>
      </c>
      <c r="Y736" s="87" t="str">
        <f t="shared" si="403"/>
        <v>ok</v>
      </c>
      <c r="Z736" s="91" t="str">
        <f t="shared" si="404"/>
        <v/>
      </c>
    </row>
    <row r="737" spans="1:33" ht="12" customHeight="1" x14ac:dyDescent="0.5">
      <c r="A737" s="96" t="s">
        <v>909</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402"/>
        <v>-18634070.126000002</v>
      </c>
      <c r="Y737" s="87" t="str">
        <f t="shared" si="403"/>
        <v>ok</v>
      </c>
      <c r="Z737" s="91" t="str">
        <f t="shared" si="404"/>
        <v/>
      </c>
    </row>
    <row r="738" spans="1:33" ht="12" hidden="1" customHeight="1" x14ac:dyDescent="0.5">
      <c r="A738" s="96" t="s">
        <v>554</v>
      </c>
      <c r="E738" s="86" t="s">
        <v>556</v>
      </c>
      <c r="F738" s="89">
        <f>-F737</f>
        <v>18634070.13000004</v>
      </c>
      <c r="G738" s="89">
        <f t="shared" ref="G738:W738" si="412">IF(VLOOKUP($E738,$D$5:$AK$1059,3,)=0,0,(VLOOKUP($E738,$D$5:$AK$1059,G$1,)/VLOOKUP($E738,$D$5:$AK$1059,3,))*$F738)</f>
        <v>7639489.9126472678</v>
      </c>
      <c r="H738" s="89">
        <f t="shared" si="412"/>
        <v>7801.9014031568167</v>
      </c>
      <c r="I738" s="89">
        <f t="shared" si="412"/>
        <v>2059747.0046663503</v>
      </c>
      <c r="J738" s="89">
        <f t="shared" si="412"/>
        <v>132168.33884522188</v>
      </c>
      <c r="K738" s="89">
        <f t="shared" si="412"/>
        <v>1920796.5301073552</v>
      </c>
      <c r="L738" s="89">
        <f t="shared" si="412"/>
        <v>83449.354118310817</v>
      </c>
      <c r="M738" s="89">
        <f t="shared" si="412"/>
        <v>1847280.9054121103</v>
      </c>
      <c r="N738" s="89">
        <f t="shared" si="412"/>
        <v>3381652.1422688123</v>
      </c>
      <c r="O738" s="89">
        <f t="shared" si="412"/>
        <v>1100778.6796272106</v>
      </c>
      <c r="P738" s="89">
        <f t="shared" si="412"/>
        <v>455830.93668045604</v>
      </c>
      <c r="Q738" s="89">
        <f t="shared" si="412"/>
        <v>2971.1324142404915</v>
      </c>
      <c r="R738" s="89">
        <f t="shared" si="412"/>
        <v>108.09894275093789</v>
      </c>
      <c r="S738" s="89">
        <f t="shared" si="412"/>
        <v>1767.6642443734397</v>
      </c>
      <c r="T738" s="89">
        <f t="shared" si="412"/>
        <v>227.52864740249245</v>
      </c>
      <c r="U738" s="89">
        <f t="shared" si="412"/>
        <v>0</v>
      </c>
      <c r="V738" s="89">
        <f t="shared" si="412"/>
        <v>0</v>
      </c>
      <c r="W738" s="89">
        <f t="shared" si="412"/>
        <v>0</v>
      </c>
      <c r="X738" s="90">
        <f t="shared" si="402"/>
        <v>18634070.130025014</v>
      </c>
      <c r="Y738" s="87" t="str">
        <f t="shared" si="403"/>
        <v>ok</v>
      </c>
      <c r="Z738" s="91" t="str">
        <f t="shared" si="404"/>
        <v/>
      </c>
    </row>
    <row r="739" spans="1:33" ht="12" customHeight="1" x14ac:dyDescent="0.5">
      <c r="A739" s="96"/>
      <c r="B739" s="91"/>
      <c r="D739" s="94"/>
      <c r="F739" s="90"/>
      <c r="G739" s="90"/>
      <c r="H739" s="90"/>
      <c r="I739" s="90"/>
      <c r="J739" s="90"/>
      <c r="K739" s="90"/>
      <c r="L739" s="90"/>
      <c r="M739" s="90"/>
      <c r="N739" s="90"/>
      <c r="O739" s="90"/>
      <c r="P739" s="90"/>
      <c r="Q739" s="90"/>
      <c r="R739" s="90"/>
      <c r="S739" s="90"/>
      <c r="T739" s="90"/>
      <c r="U739" s="90"/>
      <c r="V739" s="90"/>
      <c r="W739" s="90"/>
      <c r="Y739" s="87"/>
    </row>
    <row r="740" spans="1:33" ht="12" hidden="1" customHeight="1" x14ac:dyDescent="0.5">
      <c r="A740" s="86" t="s">
        <v>1486</v>
      </c>
      <c r="D740" s="94"/>
      <c r="G740" s="94"/>
      <c r="H740" s="94"/>
      <c r="W740" s="91"/>
      <c r="Y740" s="87"/>
    </row>
    <row r="741" spans="1:33" ht="12" hidden="1" customHeight="1" x14ac:dyDescent="0.5">
      <c r="B741" s="86" t="s">
        <v>1789</v>
      </c>
      <c r="E741" s="86" t="s">
        <v>1134</v>
      </c>
      <c r="F741" s="90"/>
      <c r="G741" s="90">
        <f t="shared" ref="G741:P743" si="413">IF(VLOOKUP($E741,$D$5:$AK$1004,3,)=0,0,(VLOOKUP($E741,$D$5:$AK$1004,G$1,)/VLOOKUP($E741,$D$5:$AK$1004,3,))*$F741)</f>
        <v>0</v>
      </c>
      <c r="H741" s="90">
        <f t="shared" si="413"/>
        <v>0</v>
      </c>
      <c r="I741" s="90">
        <f t="shared" si="413"/>
        <v>0</v>
      </c>
      <c r="J741" s="90">
        <f t="shared" si="413"/>
        <v>0</v>
      </c>
      <c r="K741" s="90">
        <f t="shared" si="413"/>
        <v>0</v>
      </c>
      <c r="L741" s="90">
        <f t="shared" si="413"/>
        <v>0</v>
      </c>
      <c r="M741" s="90">
        <f t="shared" si="413"/>
        <v>0</v>
      </c>
      <c r="N741" s="90">
        <f t="shared" si="413"/>
        <v>0</v>
      </c>
      <c r="O741" s="90">
        <f t="shared" si="413"/>
        <v>0</v>
      </c>
      <c r="P741" s="90">
        <f t="shared" si="413"/>
        <v>0</v>
      </c>
      <c r="Q741" s="90">
        <f t="shared" ref="Q741:W743" si="414">IF(VLOOKUP($E741,$D$5:$AK$1004,3,)=0,0,(VLOOKUP($E741,$D$5:$AK$1004,Q$1,)/VLOOKUP($E741,$D$5:$AK$1004,3,))*$F741)</f>
        <v>0</v>
      </c>
      <c r="R741" s="90">
        <f t="shared" si="414"/>
        <v>0</v>
      </c>
      <c r="S741" s="90">
        <f t="shared" si="414"/>
        <v>0</v>
      </c>
      <c r="T741" s="90">
        <f t="shared" si="414"/>
        <v>0</v>
      </c>
      <c r="U741" s="90">
        <f t="shared" si="414"/>
        <v>0</v>
      </c>
      <c r="V741" s="90">
        <f t="shared" si="414"/>
        <v>0</v>
      </c>
      <c r="W741" s="90">
        <f t="shared" si="414"/>
        <v>0</v>
      </c>
      <c r="X741" s="90">
        <f>SUM(G741:W741)</f>
        <v>0</v>
      </c>
      <c r="Y741" s="87" t="str">
        <f>IF(ABS(F741-X741)&lt;0.01,"ok","err")</f>
        <v>ok</v>
      </c>
      <c r="Z741" s="91" t="str">
        <f>IF(Y741="err",X741-F741,"")</f>
        <v/>
      </c>
    </row>
    <row r="742" spans="1:33" ht="12" hidden="1" customHeight="1" x14ac:dyDescent="0.5">
      <c r="B742" s="96" t="s">
        <v>2123</v>
      </c>
      <c r="E742" s="86" t="s">
        <v>1134</v>
      </c>
      <c r="F742" s="90">
        <v>0</v>
      </c>
      <c r="G742" s="90">
        <f t="shared" si="413"/>
        <v>0</v>
      </c>
      <c r="H742" s="90">
        <f t="shared" si="413"/>
        <v>0</v>
      </c>
      <c r="I742" s="90">
        <f t="shared" si="413"/>
        <v>0</v>
      </c>
      <c r="J742" s="90">
        <f t="shared" si="413"/>
        <v>0</v>
      </c>
      <c r="K742" s="90">
        <f t="shared" si="413"/>
        <v>0</v>
      </c>
      <c r="L742" s="90">
        <f t="shared" si="413"/>
        <v>0</v>
      </c>
      <c r="M742" s="90">
        <f t="shared" si="413"/>
        <v>0</v>
      </c>
      <c r="N742" s="90">
        <f t="shared" si="413"/>
        <v>0</v>
      </c>
      <c r="O742" s="90">
        <f t="shared" si="413"/>
        <v>0</v>
      </c>
      <c r="P742" s="90">
        <f t="shared" si="413"/>
        <v>0</v>
      </c>
      <c r="Q742" s="90">
        <f t="shared" si="414"/>
        <v>0</v>
      </c>
      <c r="R742" s="90">
        <f t="shared" si="414"/>
        <v>0</v>
      </c>
      <c r="S742" s="90">
        <f t="shared" si="414"/>
        <v>0</v>
      </c>
      <c r="T742" s="90">
        <f t="shared" si="414"/>
        <v>0</v>
      </c>
      <c r="U742" s="90">
        <f t="shared" si="414"/>
        <v>0</v>
      </c>
      <c r="V742" s="90">
        <f t="shared" si="414"/>
        <v>0</v>
      </c>
      <c r="W742" s="90">
        <f t="shared" si="414"/>
        <v>0</v>
      </c>
      <c r="X742" s="90">
        <f>SUM(G742:W742)</f>
        <v>0</v>
      </c>
      <c r="Y742" s="87" t="str">
        <f>IF(ABS(F742-X742)&lt;0.01,"ok","err")</f>
        <v>ok</v>
      </c>
      <c r="Z742" s="91" t="str">
        <f>IF(Y742="err",X742-F742,"")</f>
        <v/>
      </c>
    </row>
    <row r="743" spans="1:33" ht="12" hidden="1" customHeight="1" x14ac:dyDescent="0.5">
      <c r="B743" s="86" t="s">
        <v>1788</v>
      </c>
      <c r="E743" s="86" t="s">
        <v>1134</v>
      </c>
      <c r="F743" s="90"/>
      <c r="G743" s="90">
        <f t="shared" si="413"/>
        <v>0</v>
      </c>
      <c r="H743" s="90">
        <f t="shared" si="413"/>
        <v>0</v>
      </c>
      <c r="I743" s="90">
        <f t="shared" si="413"/>
        <v>0</v>
      </c>
      <c r="J743" s="90">
        <f t="shared" si="413"/>
        <v>0</v>
      </c>
      <c r="K743" s="90">
        <f t="shared" si="413"/>
        <v>0</v>
      </c>
      <c r="L743" s="90">
        <f t="shared" si="413"/>
        <v>0</v>
      </c>
      <c r="M743" s="90">
        <f t="shared" si="413"/>
        <v>0</v>
      </c>
      <c r="N743" s="90">
        <f t="shared" si="413"/>
        <v>0</v>
      </c>
      <c r="O743" s="90">
        <f t="shared" si="413"/>
        <v>0</v>
      </c>
      <c r="P743" s="90">
        <f t="shared" si="413"/>
        <v>0</v>
      </c>
      <c r="Q743" s="90">
        <f t="shared" si="414"/>
        <v>0</v>
      </c>
      <c r="R743" s="90">
        <f t="shared" si="414"/>
        <v>0</v>
      </c>
      <c r="S743" s="90">
        <f t="shared" si="414"/>
        <v>0</v>
      </c>
      <c r="T743" s="90">
        <f t="shared" si="414"/>
        <v>0</v>
      </c>
      <c r="U743" s="90">
        <f t="shared" si="414"/>
        <v>0</v>
      </c>
      <c r="V743" s="90">
        <f t="shared" si="414"/>
        <v>0</v>
      </c>
      <c r="W743" s="90">
        <f t="shared" si="414"/>
        <v>0</v>
      </c>
      <c r="X743" s="90">
        <f>SUM(G743:W743)</f>
        <v>0</v>
      </c>
      <c r="Y743" s="87" t="str">
        <f>IF(ABS(F743-X743)&lt;0.01,"ok","err")</f>
        <v>ok</v>
      </c>
      <c r="Z743" s="91" t="str">
        <f>IF(Y743="err",X743-F743,"")</f>
        <v/>
      </c>
    </row>
    <row r="744" spans="1:33" ht="12" hidden="1" customHeight="1" x14ac:dyDescent="0.5">
      <c r="A744" s="86" t="s">
        <v>908</v>
      </c>
      <c r="F744" s="89">
        <f t="shared" ref="F744:W744" si="415">SUM(F741:F743)</f>
        <v>0</v>
      </c>
      <c r="G744" s="89">
        <f t="shared" si="415"/>
        <v>0</v>
      </c>
      <c r="H744" s="89">
        <f t="shared" ref="H744" si="416">SUM(H741:H743)</f>
        <v>0</v>
      </c>
      <c r="I744" s="89">
        <f t="shared" si="415"/>
        <v>0</v>
      </c>
      <c r="J744" s="89">
        <f t="shared" si="415"/>
        <v>0</v>
      </c>
      <c r="K744" s="89">
        <f t="shared" si="415"/>
        <v>0</v>
      </c>
      <c r="L744" s="89">
        <f t="shared" si="415"/>
        <v>0</v>
      </c>
      <c r="M744" s="89">
        <f t="shared" si="415"/>
        <v>0</v>
      </c>
      <c r="N744" s="89">
        <f t="shared" si="415"/>
        <v>0</v>
      </c>
      <c r="O744" s="89">
        <f t="shared" si="415"/>
        <v>0</v>
      </c>
      <c r="P744" s="89">
        <f t="shared" si="415"/>
        <v>0</v>
      </c>
      <c r="Q744" s="89">
        <f t="shared" si="415"/>
        <v>0</v>
      </c>
      <c r="R744" s="89">
        <f t="shared" si="415"/>
        <v>0</v>
      </c>
      <c r="S744" s="89">
        <f t="shared" si="415"/>
        <v>0</v>
      </c>
      <c r="T744" s="89">
        <f t="shared" si="415"/>
        <v>0</v>
      </c>
      <c r="U744" s="89">
        <f t="shared" si="415"/>
        <v>0</v>
      </c>
      <c r="V744" s="89">
        <f t="shared" si="415"/>
        <v>0</v>
      </c>
      <c r="W744" s="89">
        <f t="shared" si="415"/>
        <v>0</v>
      </c>
      <c r="X744" s="216">
        <f>SUM(G744:W744)</f>
        <v>0</v>
      </c>
      <c r="Y744" s="87" t="str">
        <f>IF(ABS(F744-X744)&lt;0.01,"ok","err")</f>
        <v>ok</v>
      </c>
      <c r="Z744" s="91" t="str">
        <f>IF(Y744="err",X744-F744,"")</f>
        <v/>
      </c>
    </row>
    <row r="745" spans="1:33" ht="12" hidden="1" customHeight="1" x14ac:dyDescent="0.5">
      <c r="F745" s="90"/>
      <c r="G745" s="90"/>
      <c r="H745" s="90"/>
      <c r="I745" s="90"/>
      <c r="J745" s="90"/>
      <c r="K745" s="90"/>
      <c r="L745" s="90"/>
      <c r="M745" s="221"/>
      <c r="N745" s="221"/>
      <c r="O745" s="221"/>
      <c r="P745" s="221"/>
      <c r="Q745" s="90"/>
      <c r="R745" s="90"/>
      <c r="S745" s="90"/>
      <c r="T745" s="90"/>
      <c r="U745" s="90"/>
      <c r="V745" s="90"/>
      <c r="W745" s="91"/>
      <c r="X745" s="91"/>
      <c r="Y745" s="87"/>
      <c r="Z745" s="203"/>
    </row>
    <row r="746" spans="1:33" ht="12" hidden="1" customHeight="1" x14ac:dyDescent="0.5">
      <c r="F746" s="90"/>
      <c r="G746" s="90"/>
      <c r="H746" s="90"/>
      <c r="I746" s="90"/>
      <c r="J746" s="90"/>
      <c r="K746" s="90"/>
      <c r="L746" s="90"/>
      <c r="M746" s="90"/>
      <c r="N746" s="90"/>
      <c r="O746" s="90"/>
      <c r="P746" s="90"/>
      <c r="Q746" s="90"/>
      <c r="R746" s="90"/>
      <c r="S746" s="90"/>
      <c r="T746" s="90"/>
      <c r="U746" s="90"/>
      <c r="V746" s="90"/>
      <c r="W746" s="91"/>
      <c r="X746" s="91"/>
      <c r="Y746" s="87"/>
      <c r="Z746" s="203"/>
      <c r="AE746" s="213"/>
      <c r="AF746" s="213"/>
      <c r="AG746" s="213"/>
    </row>
    <row r="747" spans="1:33" ht="12" customHeight="1" x14ac:dyDescent="0.5">
      <c r="F747" s="94"/>
      <c r="G747" s="94"/>
      <c r="H747" s="94"/>
      <c r="W747" s="91"/>
      <c r="X747" s="91"/>
      <c r="Y747" s="87"/>
    </row>
    <row r="748" spans="1:33" ht="12" customHeight="1" x14ac:dyDescent="0.5">
      <c r="A748" s="86" t="s">
        <v>420</v>
      </c>
      <c r="D748" s="86" t="s">
        <v>378</v>
      </c>
      <c r="F748" s="91">
        <f t="shared" ref="F748:T748" si="417">SUM(F730:F743)</f>
        <v>1336211707.705034</v>
      </c>
      <c r="G748" s="91">
        <f t="shared" si="417"/>
        <v>566991450.97809434</v>
      </c>
      <c r="H748" s="91">
        <f t="shared" ref="H748" si="418">SUM(H730:H743)</f>
        <v>912718.7440429033</v>
      </c>
      <c r="I748" s="91">
        <f t="shared" si="417"/>
        <v>162500024.14847672</v>
      </c>
      <c r="J748" s="91">
        <f t="shared" si="417"/>
        <v>10059956.953533892</v>
      </c>
      <c r="K748" s="91">
        <f t="shared" si="417"/>
        <v>128428360.03236797</v>
      </c>
      <c r="L748" s="91">
        <f t="shared" si="417"/>
        <v>6055628.4296530178</v>
      </c>
      <c r="M748" s="91">
        <f t="shared" si="417"/>
        <v>121122982.21471789</v>
      </c>
      <c r="N748" s="91">
        <f t="shared" si="417"/>
        <v>232227581.42051542</v>
      </c>
      <c r="O748" s="91">
        <f t="shared" si="417"/>
        <v>73148848.629479021</v>
      </c>
      <c r="P748" s="91">
        <f t="shared" si="417"/>
        <v>17161410.277935997</v>
      </c>
      <c r="Q748" s="91">
        <f t="shared" si="417"/>
        <v>16901656.200161275</v>
      </c>
      <c r="R748" s="91">
        <f t="shared" si="417"/>
        <v>204483.60744465588</v>
      </c>
      <c r="S748" s="91">
        <f t="shared" si="417"/>
        <v>198532.44968251768</v>
      </c>
      <c r="T748" s="91">
        <f t="shared" si="417"/>
        <v>42141.594768096416</v>
      </c>
      <c r="U748" s="91">
        <f>SUM(U730:U743)</f>
        <v>35244.54210091164</v>
      </c>
      <c r="V748" s="91">
        <f>SUM(V730:V743)</f>
        <v>196302.7753636514</v>
      </c>
      <c r="W748" s="91">
        <f>SUM(W730:W743)</f>
        <v>24384.708324035404</v>
      </c>
      <c r="X748" s="89">
        <f>SUM(G748:W748)</f>
        <v>1336211707.7066619</v>
      </c>
      <c r="Y748" s="87" t="str">
        <f>IF(ABS(F748-X748)&lt;0.01,"ok","err")</f>
        <v>ok</v>
      </c>
      <c r="Z748" s="91" t="str">
        <f>IF(Y748="err",X748-F748,"")</f>
        <v/>
      </c>
      <c r="AE748" s="214"/>
      <c r="AF748" s="214"/>
      <c r="AG748" s="196"/>
    </row>
    <row r="749" spans="1:33" ht="12" customHeight="1" x14ac:dyDescent="0.5">
      <c r="F749" s="91"/>
      <c r="X749" s="91"/>
      <c r="AE749" s="105"/>
      <c r="AF749" s="105"/>
      <c r="AG749" s="196"/>
    </row>
    <row r="750" spans="1:33" ht="12" customHeight="1" x14ac:dyDescent="0.5">
      <c r="A750" s="86" t="s">
        <v>901</v>
      </c>
      <c r="F750" s="91">
        <f t="shared" ref="F750:T750" si="419">F725-F748</f>
        <v>249974530.73708034</v>
      </c>
      <c r="G750" s="91">
        <f t="shared" si="419"/>
        <v>65363028.520786285</v>
      </c>
      <c r="H750" s="91">
        <f t="shared" ref="H750" si="420">H725-H748</f>
        <v>138501.94332186168</v>
      </c>
      <c r="I750" s="91">
        <f t="shared" si="419"/>
        <v>67447973.422589988</v>
      </c>
      <c r="J750" s="91">
        <f t="shared" si="419"/>
        <v>2281147.1963951755</v>
      </c>
      <c r="K750" s="91">
        <f t="shared" si="419"/>
        <v>45650233.324909776</v>
      </c>
      <c r="L750" s="91">
        <f t="shared" si="419"/>
        <v>3562942.5175150828</v>
      </c>
      <c r="M750" s="91">
        <f t="shared" si="419"/>
        <v>16795401.205829322</v>
      </c>
      <c r="N750" s="91">
        <f t="shared" si="419"/>
        <v>23733048.79942283</v>
      </c>
      <c r="O750" s="91">
        <f t="shared" si="419"/>
        <v>7967252.3036165833</v>
      </c>
      <c r="P750" s="91">
        <f t="shared" si="419"/>
        <v>2874867.7105137222</v>
      </c>
      <c r="Q750" s="91">
        <f t="shared" si="419"/>
        <v>13967365.662484966</v>
      </c>
      <c r="R750" s="91">
        <f t="shared" si="419"/>
        <v>111864.80638431225</v>
      </c>
      <c r="S750" s="91">
        <f t="shared" si="419"/>
        <v>76263.274910248758</v>
      </c>
      <c r="T750" s="91">
        <f t="shared" si="419"/>
        <v>52966.470092680742</v>
      </c>
      <c r="U750" s="91">
        <f>U725-U748</f>
        <v>-28498.059632717788</v>
      </c>
      <c r="V750" s="91">
        <f>V725-V748</f>
        <v>-33798.775363651192</v>
      </c>
      <c r="W750" s="91">
        <f>W725-W748</f>
        <v>13970.411675964599</v>
      </c>
      <c r="X750" s="89">
        <f>SUM(G750:W750)</f>
        <v>249974530.73545244</v>
      </c>
      <c r="Y750" s="87" t="str">
        <f>IF(ABS(F750-X750)&lt;0.01,"ok","err")</f>
        <v>ok</v>
      </c>
      <c r="Z750" s="91" t="str">
        <f>IF(Y750="err",X750-F750,"")</f>
        <v/>
      </c>
      <c r="AB750" s="205"/>
      <c r="AE750" s="105"/>
      <c r="AF750" s="105"/>
      <c r="AG750" s="196"/>
    </row>
    <row r="751" spans="1:33" ht="12" customHeight="1" x14ac:dyDescent="0.5">
      <c r="X751" s="91"/>
      <c r="AB751" s="206"/>
      <c r="AE751" s="105"/>
      <c r="AF751" s="105"/>
      <c r="AG751" s="196"/>
    </row>
    <row r="752" spans="1:33" ht="12" hidden="1" customHeight="1" x14ac:dyDescent="0.5">
      <c r="A752" s="288" t="s">
        <v>400</v>
      </c>
      <c r="F752" s="91">
        <f t="shared" ref="F752:W752" si="421">F688</f>
        <v>5197832023.3399992</v>
      </c>
      <c r="G752" s="91">
        <f t="shared" si="421"/>
        <v>2446199408.7285142</v>
      </c>
      <c r="H752" s="91">
        <f t="shared" ref="H752" si="422">H688</f>
        <v>11340629.922834281</v>
      </c>
      <c r="I752" s="91">
        <f t="shared" si="421"/>
        <v>610148565.20987535</v>
      </c>
      <c r="J752" s="91">
        <f t="shared" si="421"/>
        <v>38738639.515784226</v>
      </c>
      <c r="K752" s="91">
        <f t="shared" si="421"/>
        <v>458864450.23790866</v>
      </c>
      <c r="L752" s="91">
        <f t="shared" si="421"/>
        <v>19887373.090099089</v>
      </c>
      <c r="M752" s="91">
        <f t="shared" si="421"/>
        <v>424829680.24150598</v>
      </c>
      <c r="N752" s="91">
        <f t="shared" si="421"/>
        <v>740452252.7798897</v>
      </c>
      <c r="O752" s="91">
        <f t="shared" si="421"/>
        <v>225535968.00398141</v>
      </c>
      <c r="P752" s="91">
        <f t="shared" si="421"/>
        <v>104333029.76968977</v>
      </c>
      <c r="Q752" s="91">
        <f t="shared" si="421"/>
        <v>113340011.04474315</v>
      </c>
      <c r="R752" s="91">
        <f t="shared" si="421"/>
        <v>398642.54509885528</v>
      </c>
      <c r="S752" s="91">
        <f t="shared" si="421"/>
        <v>615301.08940570417</v>
      </c>
      <c r="T752" s="91">
        <f t="shared" si="421"/>
        <v>174628.96328485516</v>
      </c>
      <c r="U752" s="91">
        <f t="shared" si="421"/>
        <v>105538.39738445418</v>
      </c>
      <c r="V752" s="91">
        <f t="shared" si="421"/>
        <v>2576969.3631635425</v>
      </c>
      <c r="W752" s="91">
        <f t="shared" si="421"/>
        <v>290934.43683645804</v>
      </c>
      <c r="X752" s="89">
        <f>SUM(G752:W752)</f>
        <v>5197832023.3400011</v>
      </c>
      <c r="Y752" s="87" t="str">
        <f>IF(ABS(F752-X752)&lt;0.01,"ok","err")</f>
        <v>ok</v>
      </c>
      <c r="Z752" s="91" t="str">
        <f>IF(Y752="err",X752-F752,"")</f>
        <v/>
      </c>
      <c r="AE752" s="105"/>
      <c r="AF752" s="105"/>
      <c r="AG752" s="196"/>
    </row>
    <row r="753" spans="1:33" ht="12" hidden="1" customHeight="1" x14ac:dyDescent="0.5">
      <c r="A753" s="288" t="s">
        <v>2183</v>
      </c>
      <c r="E753" s="86" t="s">
        <v>391</v>
      </c>
      <c r="F753" s="91">
        <v>0</v>
      </c>
      <c r="G753" s="89">
        <f t="shared" ref="G753:P755" si="423">IF(VLOOKUP($E753,$D$5:$AK$1004,3,)=0,0,(VLOOKUP($E753,$D$5:$AK$1004,G$1,)/VLOOKUP($E753,$D$5:$AK$1004,3,))*$F753)</f>
        <v>0</v>
      </c>
      <c r="H753" s="89">
        <f t="shared" si="423"/>
        <v>0</v>
      </c>
      <c r="I753" s="89">
        <f t="shared" si="423"/>
        <v>0</v>
      </c>
      <c r="J753" s="89">
        <f t="shared" si="423"/>
        <v>0</v>
      </c>
      <c r="K753" s="89">
        <f t="shared" si="423"/>
        <v>0</v>
      </c>
      <c r="L753" s="89">
        <f t="shared" si="423"/>
        <v>0</v>
      </c>
      <c r="M753" s="89">
        <f t="shared" si="423"/>
        <v>0</v>
      </c>
      <c r="N753" s="89">
        <f t="shared" si="423"/>
        <v>0</v>
      </c>
      <c r="O753" s="89">
        <f t="shared" si="423"/>
        <v>0</v>
      </c>
      <c r="P753" s="89">
        <f t="shared" si="423"/>
        <v>0</v>
      </c>
      <c r="Q753" s="89">
        <f t="shared" ref="Q753:W755" si="424">IF(VLOOKUP($E753,$D$5:$AK$1004,3,)=0,0,(VLOOKUP($E753,$D$5:$AK$1004,Q$1,)/VLOOKUP($E753,$D$5:$AK$1004,3,))*$F753)</f>
        <v>0</v>
      </c>
      <c r="R753" s="89">
        <f t="shared" si="424"/>
        <v>0</v>
      </c>
      <c r="S753" s="89">
        <f t="shared" si="424"/>
        <v>0</v>
      </c>
      <c r="T753" s="89">
        <f t="shared" si="424"/>
        <v>0</v>
      </c>
      <c r="U753" s="89">
        <f t="shared" si="424"/>
        <v>0</v>
      </c>
      <c r="V753" s="89">
        <f t="shared" si="424"/>
        <v>0</v>
      </c>
      <c r="W753" s="89">
        <f t="shared" si="424"/>
        <v>0</v>
      </c>
      <c r="X753" s="89">
        <f>SUM(G753:W753)</f>
        <v>0</v>
      </c>
      <c r="Y753" s="87" t="str">
        <f>IF(ABS(F753-X753)&lt;0.01,"ok","err")</f>
        <v>ok</v>
      </c>
      <c r="Z753" s="91" t="str">
        <f>IF(Y753="err",X753-F753,"")</f>
        <v/>
      </c>
      <c r="AE753" s="105"/>
      <c r="AF753" s="105"/>
      <c r="AG753" s="196"/>
    </row>
    <row r="754" spans="1:33" ht="12" hidden="1" customHeight="1" x14ac:dyDescent="0.5">
      <c r="A754" s="288" t="s">
        <v>2183</v>
      </c>
      <c r="E754" s="86" t="s">
        <v>1685</v>
      </c>
      <c r="F754" s="91">
        <v>0</v>
      </c>
      <c r="G754" s="89">
        <f t="shared" si="423"/>
        <v>0</v>
      </c>
      <c r="H754" s="89">
        <f t="shared" si="423"/>
        <v>0</v>
      </c>
      <c r="I754" s="89">
        <f t="shared" si="423"/>
        <v>0</v>
      </c>
      <c r="J754" s="89">
        <f t="shared" si="423"/>
        <v>0</v>
      </c>
      <c r="K754" s="89">
        <f t="shared" si="423"/>
        <v>0</v>
      </c>
      <c r="L754" s="89">
        <f t="shared" si="423"/>
        <v>0</v>
      </c>
      <c r="M754" s="89">
        <f t="shared" si="423"/>
        <v>0</v>
      </c>
      <c r="N754" s="89">
        <f t="shared" si="423"/>
        <v>0</v>
      </c>
      <c r="O754" s="89">
        <f t="shared" si="423"/>
        <v>0</v>
      </c>
      <c r="P754" s="89">
        <f t="shared" si="423"/>
        <v>0</v>
      </c>
      <c r="Q754" s="89">
        <f t="shared" si="424"/>
        <v>0</v>
      </c>
      <c r="R754" s="89">
        <f t="shared" si="424"/>
        <v>0</v>
      </c>
      <c r="S754" s="89">
        <f t="shared" si="424"/>
        <v>0</v>
      </c>
      <c r="T754" s="89">
        <f t="shared" si="424"/>
        <v>0</v>
      </c>
      <c r="U754" s="89">
        <f t="shared" si="424"/>
        <v>0</v>
      </c>
      <c r="V754" s="89">
        <f t="shared" si="424"/>
        <v>0</v>
      </c>
      <c r="W754" s="89">
        <f t="shared" si="424"/>
        <v>0</v>
      </c>
      <c r="X754" s="89">
        <f>SUM(G754:W754)</f>
        <v>0</v>
      </c>
      <c r="Y754" s="87" t="str">
        <f>IF(ABS(F754-X754)&lt;0.01,"ok","err")</f>
        <v>ok</v>
      </c>
      <c r="Z754" s="91" t="str">
        <f>IF(Y754="err",X754-F754,"")</f>
        <v/>
      </c>
      <c r="AE754" s="105"/>
      <c r="AF754" s="105"/>
      <c r="AG754" s="196"/>
    </row>
    <row r="755" spans="1:33" ht="12" hidden="1" customHeight="1" x14ac:dyDescent="0.5">
      <c r="A755" s="288" t="s">
        <v>2183</v>
      </c>
      <c r="E755" s="86" t="s">
        <v>509</v>
      </c>
      <c r="F755" s="91">
        <v>0</v>
      </c>
      <c r="G755" s="89">
        <f t="shared" si="423"/>
        <v>0</v>
      </c>
      <c r="H755" s="89">
        <f t="shared" si="423"/>
        <v>0</v>
      </c>
      <c r="I755" s="89">
        <f t="shared" si="423"/>
        <v>0</v>
      </c>
      <c r="J755" s="89">
        <f t="shared" si="423"/>
        <v>0</v>
      </c>
      <c r="K755" s="89">
        <f t="shared" si="423"/>
        <v>0</v>
      </c>
      <c r="L755" s="89">
        <f t="shared" si="423"/>
        <v>0</v>
      </c>
      <c r="M755" s="89">
        <f t="shared" si="423"/>
        <v>0</v>
      </c>
      <c r="N755" s="89">
        <f t="shared" si="423"/>
        <v>0</v>
      </c>
      <c r="O755" s="89">
        <f t="shared" si="423"/>
        <v>0</v>
      </c>
      <c r="P755" s="89">
        <f t="shared" si="423"/>
        <v>0</v>
      </c>
      <c r="Q755" s="89">
        <f t="shared" si="424"/>
        <v>0</v>
      </c>
      <c r="R755" s="89">
        <f t="shared" si="424"/>
        <v>0</v>
      </c>
      <c r="S755" s="89">
        <f t="shared" si="424"/>
        <v>0</v>
      </c>
      <c r="T755" s="89">
        <f t="shared" si="424"/>
        <v>0</v>
      </c>
      <c r="U755" s="89">
        <f t="shared" si="424"/>
        <v>0</v>
      </c>
      <c r="V755" s="89">
        <f t="shared" si="424"/>
        <v>0</v>
      </c>
      <c r="W755" s="89">
        <f t="shared" si="424"/>
        <v>0</v>
      </c>
      <c r="X755" s="89">
        <f>SUM(G755:W755)</f>
        <v>0</v>
      </c>
      <c r="Y755" s="87" t="str">
        <f>IF(ABS(F755-X755)&lt;0.01,"ok","err")</f>
        <v>ok</v>
      </c>
      <c r="Z755" s="91" t="str">
        <f>IF(Y755="err",X755-F755,"")</f>
        <v/>
      </c>
      <c r="AE755" s="105"/>
      <c r="AF755" s="105"/>
      <c r="AG755" s="196"/>
    </row>
    <row r="756" spans="1:33" ht="12" customHeight="1" x14ac:dyDescent="0.5">
      <c r="A756" s="390" t="s">
        <v>705</v>
      </c>
      <c r="B756" s="110"/>
      <c r="C756" s="110"/>
      <c r="D756" s="110"/>
      <c r="E756" s="110"/>
      <c r="F756" s="91">
        <f t="shared" ref="F756:W756" si="425">SUM(F752:F755)</f>
        <v>5197832023.3399992</v>
      </c>
      <c r="G756" s="114">
        <f t="shared" si="425"/>
        <v>2446199408.7285142</v>
      </c>
      <c r="H756" s="114">
        <f t="shared" ref="H756" si="426">SUM(H752:H755)</f>
        <v>11340629.922834281</v>
      </c>
      <c r="I756" s="114">
        <f t="shared" si="425"/>
        <v>610148565.20987535</v>
      </c>
      <c r="J756" s="114">
        <f>SUM(J752:J755)</f>
        <v>38738639.515784226</v>
      </c>
      <c r="K756" s="114">
        <f t="shared" si="425"/>
        <v>458864450.23790866</v>
      </c>
      <c r="L756" s="114">
        <f>SUM(L752:L755)</f>
        <v>19887373.090099089</v>
      </c>
      <c r="M756" s="91">
        <f t="shared" si="425"/>
        <v>424829680.24150598</v>
      </c>
      <c r="N756" s="91">
        <f t="shared" si="425"/>
        <v>740452252.7798897</v>
      </c>
      <c r="O756" s="91">
        <f t="shared" si="425"/>
        <v>225535968.00398141</v>
      </c>
      <c r="P756" s="91">
        <f t="shared" si="425"/>
        <v>104333029.76968977</v>
      </c>
      <c r="Q756" s="91">
        <f t="shared" si="425"/>
        <v>113340011.04474315</v>
      </c>
      <c r="R756" s="114">
        <f t="shared" si="425"/>
        <v>398642.54509885528</v>
      </c>
      <c r="S756" s="114">
        <f t="shared" si="425"/>
        <v>615301.08940570417</v>
      </c>
      <c r="T756" s="114">
        <f t="shared" si="425"/>
        <v>174628.96328485516</v>
      </c>
      <c r="U756" s="114">
        <f t="shared" si="425"/>
        <v>105538.39738445418</v>
      </c>
      <c r="V756" s="114">
        <f t="shared" si="425"/>
        <v>2576969.3631635425</v>
      </c>
      <c r="W756" s="114">
        <f t="shared" si="425"/>
        <v>290934.43683645804</v>
      </c>
      <c r="X756" s="89">
        <f>SUM(G756:W756)</f>
        <v>5197832023.3400011</v>
      </c>
      <c r="Y756" s="87" t="str">
        <f>IF(ABS(F756-X756)&lt;0.01,"ok","err")</f>
        <v>ok</v>
      </c>
      <c r="Z756" s="91" t="str">
        <f>IF(Y756="err",X756-F756,"")</f>
        <v/>
      </c>
      <c r="AE756" s="105"/>
      <c r="AF756" s="105"/>
      <c r="AG756" s="196"/>
    </row>
    <row r="757" spans="1:33" ht="12" customHeight="1" thickBot="1" x14ac:dyDescent="0.55000000000000004">
      <c r="AE757" s="213"/>
      <c r="AF757" s="213"/>
    </row>
    <row r="758" spans="1:33" ht="15" customHeight="1" thickBot="1" x14ac:dyDescent="0.55000000000000004">
      <c r="A758" s="391" t="s">
        <v>421</v>
      </c>
      <c r="B758" s="392"/>
      <c r="C758" s="392"/>
      <c r="D758" s="392"/>
      <c r="E758" s="392"/>
      <c r="F758" s="393">
        <f t="shared" ref="F758:V758" si="427">F750/F756</f>
        <v>4.8092075622030751E-2</v>
      </c>
      <c r="G758" s="393">
        <f t="shared" si="427"/>
        <v>2.6720237233137378E-2</v>
      </c>
      <c r="H758" s="393">
        <f t="shared" si="427"/>
        <v>1.2212896837678211E-2</v>
      </c>
      <c r="I758" s="393">
        <f t="shared" si="427"/>
        <v>0.11054352541071637</v>
      </c>
      <c r="J758" s="393">
        <f>J750/J756</f>
        <v>5.8885578453670588E-2</v>
      </c>
      <c r="K758" s="393">
        <f t="shared" si="427"/>
        <v>9.948522554153276E-2</v>
      </c>
      <c r="L758" s="393">
        <f>L750/L756</f>
        <v>0.17915601529539821</v>
      </c>
      <c r="M758" s="393">
        <f t="shared" si="427"/>
        <v>3.9534434591014266E-2</v>
      </c>
      <c r="N758" s="393">
        <f t="shared" si="427"/>
        <v>3.2052098849482236E-2</v>
      </c>
      <c r="O758" s="393">
        <f t="shared" si="427"/>
        <v>3.532586121019924E-2</v>
      </c>
      <c r="P758" s="393">
        <f t="shared" si="427"/>
        <v>2.755472276478366E-2</v>
      </c>
      <c r="Q758" s="393">
        <f t="shared" si="427"/>
        <v>0.12323420064756373</v>
      </c>
      <c r="R758" s="393">
        <f t="shared" si="427"/>
        <v>0.28061431916799556</v>
      </c>
      <c r="S758" s="393">
        <f t="shared" si="427"/>
        <v>0.12394464470054578</v>
      </c>
      <c r="T758" s="393">
        <f t="shared" si="427"/>
        <v>0.30330862129829927</v>
      </c>
      <c r="U758" s="393">
        <f t="shared" si="427"/>
        <v>-0.27002551051543217</v>
      </c>
      <c r="V758" s="393">
        <f t="shared" si="427"/>
        <v>-1.3115707096400671E-2</v>
      </c>
      <c r="W758" s="393">
        <f>W750/W756</f>
        <v>4.801910639343715E-2</v>
      </c>
      <c r="Y758" s="393"/>
      <c r="Z758" s="393"/>
      <c r="AE758" s="214"/>
      <c r="AF758" s="214"/>
      <c r="AG758" s="196"/>
    </row>
    <row r="761" spans="1:33" ht="12" customHeight="1" x14ac:dyDescent="0.5">
      <c r="A761" s="22" t="s">
        <v>1165</v>
      </c>
    </row>
    <row r="763" spans="1:33" ht="12" customHeight="1" x14ac:dyDescent="0.5">
      <c r="A763" s="86" t="s">
        <v>1130</v>
      </c>
      <c r="F763" s="91">
        <f t="shared" ref="F763:W763" si="428">F725</f>
        <v>1586186238.4421144</v>
      </c>
      <c r="G763" s="91">
        <f t="shared" si="428"/>
        <v>632354479.49888062</v>
      </c>
      <c r="H763" s="91">
        <f t="shared" ref="H763" si="429">H725</f>
        <v>1051220.687364765</v>
      </c>
      <c r="I763" s="91">
        <f t="shared" si="428"/>
        <v>229947997.57106671</v>
      </c>
      <c r="J763" s="91">
        <f t="shared" si="428"/>
        <v>12341104.149929067</v>
      </c>
      <c r="K763" s="91">
        <f t="shared" si="428"/>
        <v>174078593.35727775</v>
      </c>
      <c r="L763" s="91">
        <f t="shared" si="428"/>
        <v>9618570.9471681006</v>
      </c>
      <c r="M763" s="91">
        <f t="shared" si="428"/>
        <v>137918383.42054722</v>
      </c>
      <c r="N763" s="91">
        <f t="shared" si="428"/>
        <v>255960630.21993825</v>
      </c>
      <c r="O763" s="91">
        <f t="shared" si="428"/>
        <v>81116100.933095604</v>
      </c>
      <c r="P763" s="91">
        <f t="shared" si="428"/>
        <v>20036277.988449719</v>
      </c>
      <c r="Q763" s="91">
        <f t="shared" si="428"/>
        <v>30869021.862646241</v>
      </c>
      <c r="R763" s="91">
        <f t="shared" si="428"/>
        <v>316348.41382896813</v>
      </c>
      <c r="S763" s="91">
        <f t="shared" si="428"/>
        <v>274795.72459276643</v>
      </c>
      <c r="T763" s="91">
        <f t="shared" si="428"/>
        <v>95108.064860777158</v>
      </c>
      <c r="U763" s="91">
        <f t="shared" si="428"/>
        <v>6746.4824681938508</v>
      </c>
      <c r="V763" s="91">
        <f t="shared" si="428"/>
        <v>162504.0000000002</v>
      </c>
      <c r="W763" s="91">
        <f t="shared" si="428"/>
        <v>38355.120000000003</v>
      </c>
      <c r="X763" s="89">
        <f>SUM(G763:W763)</f>
        <v>1586186238.4421148</v>
      </c>
      <c r="Y763" s="87" t="str">
        <f>IF(ABS(F763-X763)&lt;0.01,"ok","err")</f>
        <v>ok</v>
      </c>
      <c r="Z763" s="91" t="str">
        <f>IF(Y763="err",X763-F763,"")</f>
        <v/>
      </c>
    </row>
    <row r="764" spans="1:33" ht="12" customHeight="1" x14ac:dyDescent="0.5">
      <c r="X764" s="91"/>
    </row>
    <row r="765" spans="1:33" ht="12" customHeight="1" x14ac:dyDescent="0.5">
      <c r="A765" s="86" t="s">
        <v>415</v>
      </c>
      <c r="F765" s="91">
        <f t="shared" ref="F765:W765" si="430">F730+F731+F732+F733+F734+F735+F737+F738+F744</f>
        <v>1312390155</v>
      </c>
      <c r="G765" s="91">
        <f t="shared" si="430"/>
        <v>563328912.35936344</v>
      </c>
      <c r="H765" s="91">
        <f t="shared" ref="H765" si="431">H730+H731+H732+H733+H734+H735+H737+H738+H744</f>
        <v>902320.63906723482</v>
      </c>
      <c r="I765" s="91">
        <f t="shared" si="430"/>
        <v>152877849.15343252</v>
      </c>
      <c r="J765" s="91">
        <f t="shared" si="430"/>
        <v>9787526.6117065214</v>
      </c>
      <c r="K765" s="91">
        <f t="shared" si="430"/>
        <v>122018618.68034132</v>
      </c>
      <c r="L765" s="91">
        <f t="shared" si="430"/>
        <v>5508576.0529117053</v>
      </c>
      <c r="M765" s="91">
        <f t="shared" si="430"/>
        <v>119500767.64108545</v>
      </c>
      <c r="N765" s="91">
        <f t="shared" si="430"/>
        <v>230491946.93827075</v>
      </c>
      <c r="O765" s="91">
        <f t="shared" si="430"/>
        <v>73005719.006448492</v>
      </c>
      <c r="P765" s="91">
        <f t="shared" si="430"/>
        <v>19382864.726358842</v>
      </c>
      <c r="Q765" s="91">
        <f t="shared" si="430"/>
        <v>14913012.951226223</v>
      </c>
      <c r="R765" s="91">
        <f t="shared" si="430"/>
        <v>186709.7454753404</v>
      </c>
      <c r="S765" s="91">
        <f t="shared" si="430"/>
        <v>187451.10910892801</v>
      </c>
      <c r="T765" s="91">
        <f t="shared" si="430"/>
        <v>33698.275036588486</v>
      </c>
      <c r="U765" s="91">
        <f t="shared" si="430"/>
        <v>40127.785721985638</v>
      </c>
      <c r="V765" s="91">
        <f t="shared" si="430"/>
        <v>202040.078689961</v>
      </c>
      <c r="W765" s="91">
        <f t="shared" si="430"/>
        <v>22013.246976219063</v>
      </c>
      <c r="X765" s="89">
        <f>SUM(G765:W765)</f>
        <v>1312390155.0012217</v>
      </c>
      <c r="Y765" s="87" t="str">
        <f>IF(ABS(F765-X765)&lt;0.01,"ok","err")</f>
        <v>ok</v>
      </c>
      <c r="Z765" s="91" t="str">
        <f>IF(Y765="err",X765-F765,"")</f>
        <v/>
      </c>
    </row>
    <row r="766" spans="1:33" ht="12" customHeight="1" x14ac:dyDescent="0.5">
      <c r="X766" s="91"/>
    </row>
    <row r="767" spans="1:33" ht="12" customHeight="1" x14ac:dyDescent="0.5">
      <c r="A767" s="86" t="s">
        <v>1131</v>
      </c>
      <c r="D767" s="86" t="s">
        <v>1132</v>
      </c>
      <c r="F767" s="194">
        <f t="shared" ref="F767:W767" si="432">F636</f>
        <v>109640428.99999999</v>
      </c>
      <c r="G767" s="194">
        <f t="shared" si="432"/>
        <v>51426298.213818833</v>
      </c>
      <c r="H767" s="194">
        <f t="shared" ref="H767" si="433">H636</f>
        <v>85048.025694382683</v>
      </c>
      <c r="I767" s="194">
        <f t="shared" si="432"/>
        <v>12822948.388816658</v>
      </c>
      <c r="J767" s="194">
        <f t="shared" si="432"/>
        <v>808413.12691875722</v>
      </c>
      <c r="K767" s="194">
        <f t="shared" si="432"/>
        <v>9810884.4043136351</v>
      </c>
      <c r="L767" s="194">
        <f t="shared" si="432"/>
        <v>423675.66821378865</v>
      </c>
      <c r="M767" s="194">
        <f t="shared" si="432"/>
        <v>9086125.1632384751</v>
      </c>
      <c r="N767" s="194">
        <f t="shared" si="432"/>
        <v>15857524.886993198</v>
      </c>
      <c r="O767" s="194">
        <f t="shared" si="432"/>
        <v>4838726.1642371649</v>
      </c>
      <c r="P767" s="194">
        <f t="shared" si="432"/>
        <v>2201917.407755428</v>
      </c>
      <c r="Q767" s="194">
        <f t="shared" si="432"/>
        <v>2255127.9892264996</v>
      </c>
      <c r="R767" s="194">
        <f t="shared" si="432"/>
        <v>7266.0885738606576</v>
      </c>
      <c r="S767" s="194">
        <f t="shared" si="432"/>
        <v>12750.140934078341</v>
      </c>
      <c r="T767" s="194">
        <f t="shared" si="432"/>
        <v>3453.929111887031</v>
      </c>
      <c r="U767" s="194">
        <f t="shared" si="432"/>
        <v>269.4021533451604</v>
      </c>
      <c r="V767" s="194">
        <f t="shared" si="432"/>
        <v>0</v>
      </c>
      <c r="W767" s="194">
        <f t="shared" si="432"/>
        <v>0</v>
      </c>
      <c r="X767" s="89">
        <f>SUM(G767:W767)</f>
        <v>109640429</v>
      </c>
      <c r="Y767" s="87" t="str">
        <f>IF(ABS(F767-X767)&lt;0.01,"ok","err")</f>
        <v>ok</v>
      </c>
      <c r="Z767" s="91" t="str">
        <f>IF(Y767="err",X767-F767,"")</f>
        <v/>
      </c>
    </row>
    <row r="768" spans="1:33" ht="12" customHeight="1" x14ac:dyDescent="0.5">
      <c r="F768" s="194"/>
      <c r="G768" s="194"/>
      <c r="H768" s="194"/>
      <c r="I768" s="194"/>
      <c r="J768" s="194"/>
      <c r="K768" s="194"/>
      <c r="L768" s="194"/>
      <c r="M768" s="194"/>
      <c r="N768" s="194"/>
      <c r="O768" s="194"/>
      <c r="P768" s="194"/>
      <c r="Q768" s="194"/>
      <c r="R768" s="194"/>
      <c r="S768" s="194"/>
      <c r="T768" s="194"/>
      <c r="U768" s="194"/>
      <c r="V768" s="194"/>
      <c r="W768" s="194"/>
      <c r="X768" s="91"/>
      <c r="Y768" s="87"/>
    </row>
    <row r="769" spans="1:26" ht="12" customHeight="1" x14ac:dyDescent="0.5">
      <c r="A769" s="86" t="s">
        <v>1166</v>
      </c>
      <c r="E769" s="86" t="s">
        <v>1132</v>
      </c>
      <c r="F769" s="211">
        <v>6243935.8163053207</v>
      </c>
      <c r="G769" s="212">
        <f t="shared" ref="G769:W769" si="434">IF(VLOOKUP($E769,$D$5:$AK$1031,3,)=0,0,(VLOOKUP($E769,$D$5:$AK$1031,G$1,)/VLOOKUP($E769,$D$5:$AK$1031,3,))*$F769)</f>
        <v>2928687.0568270194</v>
      </c>
      <c r="H769" s="212">
        <f t="shared" si="434"/>
        <v>4843.4178758933103</v>
      </c>
      <c r="I769" s="212">
        <f t="shared" si="434"/>
        <v>730256.78069507505</v>
      </c>
      <c r="J769" s="212">
        <f t="shared" si="434"/>
        <v>46038.488936771748</v>
      </c>
      <c r="K769" s="212">
        <f t="shared" si="434"/>
        <v>558722.11628910352</v>
      </c>
      <c r="L769" s="212">
        <f t="shared" si="434"/>
        <v>24127.994603680047</v>
      </c>
      <c r="M769" s="212">
        <f t="shared" si="434"/>
        <v>517447.65006508463</v>
      </c>
      <c r="N769" s="212">
        <f t="shared" si="434"/>
        <v>903073.51497001003</v>
      </c>
      <c r="O769" s="212">
        <f t="shared" si="434"/>
        <v>275561.63249027508</v>
      </c>
      <c r="P769" s="212">
        <f t="shared" si="434"/>
        <v>125397.4568708618</v>
      </c>
      <c r="Q769" s="212">
        <f t="shared" si="434"/>
        <v>128427.7574496169</v>
      </c>
      <c r="R769" s="212">
        <f t="shared" si="434"/>
        <v>413.79800411739922</v>
      </c>
      <c r="S769" s="212">
        <f t="shared" si="434"/>
        <v>726.11045366515611</v>
      </c>
      <c r="T769" s="212">
        <f t="shared" si="434"/>
        <v>196.69853433983792</v>
      </c>
      <c r="U769" s="212">
        <f t="shared" si="434"/>
        <v>15.342239807011568</v>
      </c>
      <c r="V769" s="212">
        <f t="shared" si="434"/>
        <v>0</v>
      </c>
      <c r="W769" s="212">
        <f t="shared" si="434"/>
        <v>0</v>
      </c>
      <c r="X769" s="89">
        <f>SUM(G769:W769)</f>
        <v>6243935.8163053226</v>
      </c>
      <c r="Y769" s="87" t="str">
        <f>IF(ABS(F769-X769)&lt;0.01,"ok","err")</f>
        <v>ok</v>
      </c>
      <c r="Z769" s="91" t="str">
        <f>IF(Y769="err",X769-F769,"")</f>
        <v/>
      </c>
    </row>
    <row r="770" spans="1:26" ht="12" customHeight="1" x14ac:dyDescent="0.5">
      <c r="X770" s="91"/>
    </row>
    <row r="771" spans="1:26" ht="12" customHeight="1" x14ac:dyDescent="0.5">
      <c r="A771" s="86" t="s">
        <v>1133</v>
      </c>
      <c r="D771" s="86" t="s">
        <v>1167</v>
      </c>
      <c r="F771" s="91">
        <f>F763-F765-F767-F769</f>
        <v>157911718.62580904</v>
      </c>
      <c r="G771" s="91">
        <f t="shared" ref="G771:W771" si="435">G763-G765-G767-G769</f>
        <v>14670581.868871335</v>
      </c>
      <c r="H771" s="91">
        <f t="shared" ref="H771" si="436">H763-H765-H767-H769</f>
        <v>59008.604727254162</v>
      </c>
      <c r="I771" s="91">
        <f t="shared" si="435"/>
        <v>63516943.248122461</v>
      </c>
      <c r="J771" s="91">
        <f>J763-J765-J767-J769</f>
        <v>1699125.9223670168</v>
      </c>
      <c r="K771" s="91">
        <f>K763-K765-K767-K769</f>
        <v>41690368.156333692</v>
      </c>
      <c r="L771" s="91">
        <f>L763-L765-L767-L769</f>
        <v>3662191.2314389269</v>
      </c>
      <c r="M771" s="91">
        <f t="shared" si="435"/>
        <v>8814042.9661582112</v>
      </c>
      <c r="N771" s="91">
        <f t="shared" si="435"/>
        <v>8708084.8797042929</v>
      </c>
      <c r="O771" s="91">
        <f t="shared" si="435"/>
        <v>2996094.1299196719</v>
      </c>
      <c r="P771" s="91">
        <f>P763-P765-P767-P769</f>
        <v>-1673901.6025354131</v>
      </c>
      <c r="Q771" s="91">
        <f>Q763-Q765-Q767-Q769</f>
        <v>13572453.1647439</v>
      </c>
      <c r="R771" s="91">
        <f t="shared" si="435"/>
        <v>121958.78177564967</v>
      </c>
      <c r="S771" s="91">
        <f t="shared" si="435"/>
        <v>73868.364096094927</v>
      </c>
      <c r="T771" s="91">
        <f t="shared" si="435"/>
        <v>57759.1621779618</v>
      </c>
      <c r="U771" s="91">
        <f t="shared" si="435"/>
        <v>-33666.04764694396</v>
      </c>
      <c r="V771" s="91">
        <f t="shared" si="435"/>
        <v>-39536.078689960792</v>
      </c>
      <c r="W771" s="91">
        <f t="shared" si="435"/>
        <v>16341.87302378094</v>
      </c>
      <c r="X771" s="89">
        <f>SUM(G771:W771)</f>
        <v>157911718.62458792</v>
      </c>
      <c r="Y771" s="87" t="str">
        <f>IF(ABS(F771-X771)&lt;0.01,"ok","err")</f>
        <v>ok</v>
      </c>
      <c r="Z771" s="91" t="str">
        <f>IF(Y771="err",X771-F771,"")</f>
        <v/>
      </c>
    </row>
    <row r="772" spans="1:26" ht="12" customHeight="1" x14ac:dyDescent="0.5">
      <c r="F772" s="91"/>
      <c r="G772" s="91"/>
      <c r="H772" s="91"/>
      <c r="I772" s="91"/>
      <c r="J772" s="91"/>
      <c r="K772" s="91"/>
      <c r="L772" s="91"/>
      <c r="M772" s="91"/>
      <c r="N772" s="91"/>
      <c r="O772" s="91"/>
      <c r="P772" s="91"/>
      <c r="Q772" s="91"/>
      <c r="R772" s="91"/>
      <c r="S772" s="91"/>
      <c r="T772" s="91"/>
      <c r="U772" s="91"/>
      <c r="V772" s="91"/>
      <c r="W772" s="91"/>
      <c r="X772" s="91"/>
      <c r="Y772" s="87"/>
      <c r="Z772" s="215"/>
    </row>
    <row r="773" spans="1:26" ht="12" customHeight="1" x14ac:dyDescent="0.5">
      <c r="X773" s="91"/>
    </row>
    <row r="774" spans="1:26" ht="12" customHeight="1" x14ac:dyDescent="0.5">
      <c r="A774" s="394" t="s">
        <v>1846</v>
      </c>
      <c r="X774" s="91"/>
    </row>
    <row r="775" spans="1:26" ht="12" customHeight="1" x14ac:dyDescent="0.5">
      <c r="A775" s="394"/>
      <c r="X775" s="91"/>
    </row>
    <row r="776" spans="1:26" ht="12" customHeight="1" x14ac:dyDescent="0.5">
      <c r="B776" s="288"/>
      <c r="X776" s="91"/>
    </row>
    <row r="777" spans="1:26" ht="12" customHeight="1" x14ac:dyDescent="0.5">
      <c r="X777" s="91"/>
    </row>
    <row r="778" spans="1:26" ht="12" customHeight="1" x14ac:dyDescent="0.5">
      <c r="A778" s="288" t="s">
        <v>194</v>
      </c>
      <c r="X778" s="91"/>
    </row>
    <row r="779" spans="1:26" ht="12" customHeight="1" x14ac:dyDescent="0.5">
      <c r="X779" s="91"/>
    </row>
    <row r="780" spans="1:26" ht="12" customHeight="1" x14ac:dyDescent="0.5">
      <c r="A780" s="86" t="s">
        <v>1130</v>
      </c>
      <c r="F780" s="91">
        <f t="shared" ref="F780:W780" si="437">F725</f>
        <v>1586186238.4421144</v>
      </c>
      <c r="G780" s="91">
        <f t="shared" si="437"/>
        <v>632354479.49888062</v>
      </c>
      <c r="H780" s="91">
        <f t="shared" si="437"/>
        <v>1051220.687364765</v>
      </c>
      <c r="I780" s="91">
        <f t="shared" si="437"/>
        <v>229947997.57106671</v>
      </c>
      <c r="J780" s="91">
        <f t="shared" si="437"/>
        <v>12341104.149929067</v>
      </c>
      <c r="K780" s="91">
        <f t="shared" si="437"/>
        <v>174078593.35727775</v>
      </c>
      <c r="L780" s="91">
        <f t="shared" si="437"/>
        <v>9618570.9471681006</v>
      </c>
      <c r="M780" s="91">
        <f t="shared" si="437"/>
        <v>137918383.42054722</v>
      </c>
      <c r="N780" s="91">
        <f t="shared" si="437"/>
        <v>255960630.21993825</v>
      </c>
      <c r="O780" s="91">
        <f t="shared" si="437"/>
        <v>81116100.933095604</v>
      </c>
      <c r="P780" s="91">
        <f t="shared" si="437"/>
        <v>20036277.988449719</v>
      </c>
      <c r="Q780" s="91">
        <f t="shared" si="437"/>
        <v>30869021.862646241</v>
      </c>
      <c r="R780" s="91">
        <f t="shared" si="437"/>
        <v>316348.41382896813</v>
      </c>
      <c r="S780" s="91">
        <f t="shared" si="437"/>
        <v>274795.72459276643</v>
      </c>
      <c r="T780" s="91">
        <f t="shared" si="437"/>
        <v>95108.064860777158</v>
      </c>
      <c r="U780" s="91">
        <f t="shared" si="437"/>
        <v>6746.4824681938508</v>
      </c>
      <c r="V780" s="91">
        <f t="shared" si="437"/>
        <v>162504.0000000002</v>
      </c>
      <c r="W780" s="91">
        <f t="shared" si="437"/>
        <v>38355.120000000003</v>
      </c>
      <c r="X780" s="89">
        <f t="shared" ref="X780:X785" si="438">SUM(G780:W780)</f>
        <v>1586186238.4421148</v>
      </c>
      <c r="Y780" s="87" t="str">
        <f t="shared" ref="Y780:Y785" si="439">IF(ABS(F780-X780)&lt;0.01,"ok","err")</f>
        <v>ok</v>
      </c>
      <c r="Z780" s="91" t="str">
        <f>IF(Y780="err",X780-F780,"")</f>
        <v/>
      </c>
    </row>
    <row r="781" spans="1:26" ht="12" customHeight="1" x14ac:dyDescent="0.5">
      <c r="A781" s="86" t="s">
        <v>903</v>
      </c>
      <c r="E781" s="216"/>
      <c r="F781" s="91">
        <v>169747179</v>
      </c>
      <c r="G781" s="89">
        <f>(68176839+19427)-H781</f>
        <v>68093984.910883442</v>
      </c>
      <c r="H781" s="89">
        <f>'Billing Det'!C10*0.09859+236056*0.64+('Billing Det'!C10/('Billing Det'!C8+'Billing Det'!C10))*(-10160333)-H651</f>
        <v>102281.08911655552</v>
      </c>
      <c r="I781" s="89">
        <v>26734943</v>
      </c>
      <c r="J781" s="89">
        <v>1453830</v>
      </c>
      <c r="K781" s="89">
        <v>18553034</v>
      </c>
      <c r="L781" s="89">
        <v>1039687</v>
      </c>
      <c r="M781" s="89">
        <v>14530948</v>
      </c>
      <c r="N781" s="89">
        <v>26942083</v>
      </c>
      <c r="O781" s="89">
        <v>8787141</v>
      </c>
      <c r="P781" s="89">
        <v>3514118</v>
      </c>
      <c r="Q781" s="89">
        <v>-129</v>
      </c>
      <c r="R781" s="89">
        <v>18</v>
      </c>
      <c r="S781" s="89">
        <v>2</v>
      </c>
      <c r="T781" s="89">
        <v>-4762</v>
      </c>
      <c r="U781" s="89">
        <v>0</v>
      </c>
      <c r="V781" s="89">
        <v>0</v>
      </c>
      <c r="W781" s="91">
        <v>0</v>
      </c>
      <c r="X781" s="89">
        <f t="shared" si="438"/>
        <v>169747179</v>
      </c>
      <c r="Y781" s="87" t="str">
        <f t="shared" si="439"/>
        <v>ok</v>
      </c>
    </row>
    <row r="782" spans="1:26" ht="12" customHeight="1" x14ac:dyDescent="0.5">
      <c r="A782" s="86" t="s">
        <v>2482</v>
      </c>
      <c r="E782" s="216"/>
      <c r="F782" s="91">
        <v>353855.9</v>
      </c>
      <c r="G782" s="89">
        <v>0</v>
      </c>
      <c r="H782" s="89"/>
      <c r="I782" s="89">
        <v>0</v>
      </c>
      <c r="J782" s="89">
        <v>0</v>
      </c>
      <c r="K782" s="89">
        <v>0</v>
      </c>
      <c r="L782" s="89">
        <v>0</v>
      </c>
      <c r="M782" s="89">
        <v>0</v>
      </c>
      <c r="N782" s="89">
        <v>0</v>
      </c>
      <c r="O782" s="89">
        <v>0</v>
      </c>
      <c r="P782" s="89">
        <v>0</v>
      </c>
      <c r="Q782" s="89">
        <v>0</v>
      </c>
      <c r="R782" s="89">
        <v>0</v>
      </c>
      <c r="S782" s="89">
        <v>0</v>
      </c>
      <c r="T782" s="89">
        <v>0</v>
      </c>
      <c r="U782" s="89">
        <v>48431.38</v>
      </c>
      <c r="V782" s="89">
        <v>295846.02</v>
      </c>
      <c r="W782" s="91">
        <v>9578.5</v>
      </c>
      <c r="X782" s="89">
        <f t="shared" si="438"/>
        <v>353855.9</v>
      </c>
      <c r="Y782" s="87" t="str">
        <f t="shared" si="439"/>
        <v>ok</v>
      </c>
      <c r="Z782" s="91" t="str">
        <f>IF(Y782="err",X782-F782,"")</f>
        <v/>
      </c>
    </row>
    <row r="783" spans="1:26" ht="12" customHeight="1" x14ac:dyDescent="0.5">
      <c r="A783" s="86" t="s">
        <v>2486</v>
      </c>
      <c r="E783" s="216"/>
      <c r="F783" s="91"/>
      <c r="G783" s="89">
        <v>0</v>
      </c>
      <c r="H783" s="89"/>
      <c r="I783" s="89">
        <v>0</v>
      </c>
      <c r="J783" s="89">
        <v>0</v>
      </c>
      <c r="K783" s="89">
        <v>0</v>
      </c>
      <c r="L783" s="89">
        <v>0</v>
      </c>
      <c r="M783" s="89">
        <v>0</v>
      </c>
      <c r="N783" s="89">
        <v>0</v>
      </c>
      <c r="O783" s="89">
        <v>0</v>
      </c>
      <c r="P783" s="89">
        <v>0</v>
      </c>
      <c r="Q783" s="89">
        <v>0</v>
      </c>
      <c r="R783" s="89">
        <v>0</v>
      </c>
      <c r="S783" s="89">
        <v>0</v>
      </c>
      <c r="T783" s="89">
        <v>0</v>
      </c>
      <c r="U783" s="89">
        <f>F783</f>
        <v>0</v>
      </c>
      <c r="V783" s="89">
        <v>0</v>
      </c>
      <c r="W783" s="91"/>
      <c r="X783" s="89">
        <f t="shared" si="438"/>
        <v>0</v>
      </c>
      <c r="Y783" s="87" t="str">
        <f t="shared" si="439"/>
        <v>ok</v>
      </c>
      <c r="Z783" s="91"/>
    </row>
    <row r="784" spans="1:26" ht="12" customHeight="1" x14ac:dyDescent="0.5">
      <c r="A784" s="86" t="s">
        <v>2567</v>
      </c>
      <c r="E784" s="216" t="s">
        <v>2108</v>
      </c>
      <c r="F784" s="89">
        <v>366528</v>
      </c>
      <c r="G784" s="89">
        <f t="shared" ref="G784:P785" si="440">IF(VLOOKUP($E784,$D$5:$AK$1004,3,)=0,0,(VLOOKUP($E784,$D$5:$AK$1004,G$1,)/VLOOKUP($E784,$D$5:$AK$1004,3,))*$F784)</f>
        <v>38132.165221714313</v>
      </c>
      <c r="H784" s="89">
        <f t="shared" si="440"/>
        <v>55.791587390345704</v>
      </c>
      <c r="I784" s="89">
        <f t="shared" si="440"/>
        <v>71491.142994696522</v>
      </c>
      <c r="J784" s="89">
        <f t="shared" si="440"/>
        <v>17684.391745745848</v>
      </c>
      <c r="K784" s="89">
        <f t="shared" si="440"/>
        <v>185297.47992735603</v>
      </c>
      <c r="L784" s="89">
        <f t="shared" si="440"/>
        <v>8502.9490355940852</v>
      </c>
      <c r="M784" s="89">
        <f t="shared" si="440"/>
        <v>31974.828948902261</v>
      </c>
      <c r="N784" s="89">
        <f t="shared" si="440"/>
        <v>10662.811039539863</v>
      </c>
      <c r="O784" s="89">
        <f t="shared" si="440"/>
        <v>834.54150366824638</v>
      </c>
      <c r="P784" s="89">
        <f t="shared" si="440"/>
        <v>41.727075183412325</v>
      </c>
      <c r="Q784" s="89">
        <f t="shared" ref="Q784:W785" si="441">IF(VLOOKUP($E784,$D$5:$AK$1004,3,)=0,0,(VLOOKUP($E784,$D$5:$AK$1004,Q$1,)/VLOOKUP($E784,$D$5:$AK$1004,3,))*$F784)</f>
        <v>1850.1709202090492</v>
      </c>
      <c r="R784" s="89">
        <f t="shared" si="441"/>
        <v>0</v>
      </c>
      <c r="S784" s="89">
        <f t="shared" si="441"/>
        <v>0</v>
      </c>
      <c r="T784" s="89">
        <f t="shared" si="441"/>
        <v>0</v>
      </c>
      <c r="U784" s="89">
        <f t="shared" si="441"/>
        <v>0</v>
      </c>
      <c r="V784" s="89">
        <f t="shared" si="441"/>
        <v>0</v>
      </c>
      <c r="W784" s="89">
        <f t="shared" si="441"/>
        <v>0</v>
      </c>
      <c r="X784" s="89">
        <f t="shared" si="438"/>
        <v>366527.99999999994</v>
      </c>
      <c r="Y784" s="87" t="str">
        <f t="shared" si="439"/>
        <v>ok</v>
      </c>
      <c r="Z784" s="91" t="str">
        <f>IF(Y784="err",X784-F784,"")</f>
        <v/>
      </c>
    </row>
    <row r="785" spans="1:26" ht="12" customHeight="1" x14ac:dyDescent="0.5">
      <c r="A785" s="86" t="s">
        <v>2483</v>
      </c>
      <c r="E785" s="216" t="s">
        <v>2108</v>
      </c>
      <c r="F785" s="89">
        <v>5899</v>
      </c>
      <c r="G785" s="89">
        <f t="shared" si="440"/>
        <v>613.70930090714148</v>
      </c>
      <c r="H785" s="89">
        <f t="shared" si="440"/>
        <v>0.89792478068701242</v>
      </c>
      <c r="I785" s="89">
        <f t="shared" si="440"/>
        <v>1150.5976419965591</v>
      </c>
      <c r="J785" s="89">
        <f t="shared" si="440"/>
        <v>284.61734685523277</v>
      </c>
      <c r="K785" s="89">
        <f t="shared" si="440"/>
        <v>2982.2273716918576</v>
      </c>
      <c r="L785" s="89">
        <f t="shared" si="440"/>
        <v>136.8487437821108</v>
      </c>
      <c r="M785" s="89">
        <f t="shared" si="440"/>
        <v>514.61147843977665</v>
      </c>
      <c r="N785" s="89">
        <f t="shared" si="440"/>
        <v>171.61014253275508</v>
      </c>
      <c r="O785" s="89">
        <f t="shared" si="440"/>
        <v>13.431334932498977</v>
      </c>
      <c r="P785" s="89">
        <f t="shared" si="440"/>
        <v>0.67156674662494897</v>
      </c>
      <c r="Q785" s="89">
        <f t="shared" si="441"/>
        <v>29.777147334755274</v>
      </c>
      <c r="R785" s="89">
        <f t="shared" si="441"/>
        <v>0</v>
      </c>
      <c r="S785" s="89">
        <f t="shared" si="441"/>
        <v>0</v>
      </c>
      <c r="T785" s="89">
        <f t="shared" si="441"/>
        <v>0</v>
      </c>
      <c r="U785" s="89">
        <f t="shared" si="441"/>
        <v>0</v>
      </c>
      <c r="V785" s="89">
        <f t="shared" si="441"/>
        <v>0</v>
      </c>
      <c r="W785" s="89">
        <f t="shared" si="441"/>
        <v>0</v>
      </c>
      <c r="X785" s="89">
        <f t="shared" si="438"/>
        <v>5899.0000000000009</v>
      </c>
      <c r="Y785" s="87" t="str">
        <f t="shared" si="439"/>
        <v>ok</v>
      </c>
      <c r="Z785" s="91" t="str">
        <f>IF(Y785="err",X785-F785,"")</f>
        <v/>
      </c>
    </row>
    <row r="786" spans="1:26" ht="12" customHeight="1" x14ac:dyDescent="0.5">
      <c r="E786" s="216"/>
      <c r="F786" s="89"/>
      <c r="G786" s="89"/>
      <c r="H786" s="89"/>
      <c r="I786" s="89"/>
      <c r="J786" s="89"/>
      <c r="K786" s="89"/>
      <c r="L786" s="89"/>
      <c r="M786" s="89"/>
      <c r="N786" s="89"/>
      <c r="O786" s="89"/>
      <c r="P786" s="89"/>
      <c r="Q786" s="89"/>
      <c r="R786" s="89"/>
      <c r="S786" s="89"/>
      <c r="T786" s="89"/>
      <c r="U786" s="89"/>
      <c r="V786" s="89"/>
      <c r="W786" s="89"/>
      <c r="X786" s="216"/>
      <c r="Y786" s="87"/>
      <c r="Z786" s="91"/>
    </row>
    <row r="787" spans="1:26" ht="12" customHeight="1" x14ac:dyDescent="0.5">
      <c r="E787" s="216"/>
      <c r="F787" s="89"/>
      <c r="G787" s="89"/>
      <c r="H787" s="89"/>
      <c r="I787" s="216"/>
      <c r="J787" s="216"/>
      <c r="K787" s="216"/>
      <c r="L787" s="216"/>
      <c r="M787" s="216"/>
      <c r="N787" s="216"/>
      <c r="O787" s="216"/>
      <c r="P787" s="216"/>
      <c r="Q787" s="216"/>
      <c r="R787" s="216"/>
      <c r="S787" s="216"/>
      <c r="T787" s="216"/>
      <c r="U787" s="216"/>
      <c r="V787" s="216"/>
      <c r="W787" s="91"/>
      <c r="Y787" s="87"/>
    </row>
    <row r="788" spans="1:26" ht="12" customHeight="1" x14ac:dyDescent="0.5">
      <c r="A788" s="86" t="s">
        <v>500</v>
      </c>
      <c r="E788" s="196"/>
      <c r="F788" s="89">
        <f t="shared" ref="F788:W788" si="442">SUM(F780:F787)</f>
        <v>1756659700.3421144</v>
      </c>
      <c r="G788" s="89">
        <f t="shared" si="442"/>
        <v>700487210.28428662</v>
      </c>
      <c r="H788" s="89">
        <f t="shared" si="442"/>
        <v>1153558.4659934915</v>
      </c>
      <c r="I788" s="89">
        <f t="shared" si="442"/>
        <v>256755582.31170341</v>
      </c>
      <c r="J788" s="89">
        <f t="shared" si="442"/>
        <v>13812903.159021668</v>
      </c>
      <c r="K788" s="89">
        <f t="shared" si="442"/>
        <v>192819907.0645768</v>
      </c>
      <c r="L788" s="89">
        <f t="shared" si="442"/>
        <v>10666897.744947476</v>
      </c>
      <c r="M788" s="89">
        <f t="shared" si="442"/>
        <v>152481820.86097458</v>
      </c>
      <c r="N788" s="89">
        <f t="shared" si="442"/>
        <v>282913547.64112037</v>
      </c>
      <c r="O788" s="89">
        <f t="shared" si="442"/>
        <v>89904089.9059342</v>
      </c>
      <c r="P788" s="89">
        <f t="shared" si="442"/>
        <v>23550438.387091648</v>
      </c>
      <c r="Q788" s="89">
        <f t="shared" si="442"/>
        <v>30870772.810713783</v>
      </c>
      <c r="R788" s="89">
        <f t="shared" si="442"/>
        <v>316366.41382896813</v>
      </c>
      <c r="S788" s="89">
        <f t="shared" si="442"/>
        <v>274797.72459276643</v>
      </c>
      <c r="T788" s="89">
        <f t="shared" si="442"/>
        <v>90346.064860777158</v>
      </c>
      <c r="U788" s="89">
        <f t="shared" si="442"/>
        <v>55177.862468193845</v>
      </c>
      <c r="V788" s="89">
        <f t="shared" si="442"/>
        <v>458350.02000000025</v>
      </c>
      <c r="W788" s="89">
        <f t="shared" si="442"/>
        <v>47933.62</v>
      </c>
      <c r="X788" s="89">
        <f>SUM(G788:W788)</f>
        <v>1756659700.3421144</v>
      </c>
      <c r="Y788" s="87" t="str">
        <f>IF(ABS(F788-X788)&lt;0.01,"ok","err")</f>
        <v>ok</v>
      </c>
      <c r="Z788" s="91" t="str">
        <f>IF(Y788="err",X788-F788,"")</f>
        <v/>
      </c>
    </row>
    <row r="789" spans="1:26" ht="12" customHeight="1" x14ac:dyDescent="0.5">
      <c r="A789" s="288"/>
      <c r="E789" s="216"/>
      <c r="F789" s="89"/>
      <c r="G789" s="89"/>
      <c r="H789" s="89"/>
      <c r="I789" s="89"/>
      <c r="J789" s="89"/>
      <c r="K789" s="89"/>
      <c r="L789" s="89"/>
      <c r="M789" s="89"/>
      <c r="N789" s="89"/>
      <c r="O789" s="89"/>
      <c r="P789" s="89"/>
      <c r="Q789" s="89"/>
      <c r="R789" s="89"/>
      <c r="S789" s="89"/>
      <c r="T789" s="89"/>
      <c r="U789" s="89"/>
      <c r="V789" s="89"/>
      <c r="W789" s="91"/>
      <c r="X789" s="91"/>
      <c r="Y789" s="87"/>
    </row>
    <row r="790" spans="1:26" ht="12" customHeight="1" x14ac:dyDescent="0.5">
      <c r="A790" s="288"/>
      <c r="E790" s="89"/>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t="s">
        <v>415</v>
      </c>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c r="E792" s="216"/>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86" t="s">
        <v>420</v>
      </c>
      <c r="E793" s="216"/>
      <c r="F793" s="89">
        <f>F684</f>
        <v>1336211707.705034</v>
      </c>
      <c r="G793" s="89">
        <f t="shared" ref="G793:V793" si="443">G748</f>
        <v>566991450.97809434</v>
      </c>
      <c r="H793" s="89">
        <f t="shared" si="443"/>
        <v>912718.7440429033</v>
      </c>
      <c r="I793" s="89">
        <f t="shared" si="443"/>
        <v>162500024.14847672</v>
      </c>
      <c r="J793" s="89">
        <f t="shared" si="443"/>
        <v>10059956.953533892</v>
      </c>
      <c r="K793" s="89">
        <f t="shared" si="443"/>
        <v>128428360.03236797</v>
      </c>
      <c r="L793" s="89">
        <f t="shared" si="443"/>
        <v>6055628.4296530178</v>
      </c>
      <c r="M793" s="89">
        <f t="shared" si="443"/>
        <v>121122982.21471789</v>
      </c>
      <c r="N793" s="89">
        <f t="shared" si="443"/>
        <v>232227581.42051542</v>
      </c>
      <c r="O793" s="89">
        <f t="shared" si="443"/>
        <v>73148848.629479021</v>
      </c>
      <c r="P793" s="89">
        <f t="shared" si="443"/>
        <v>17161410.277935997</v>
      </c>
      <c r="Q793" s="89">
        <f t="shared" si="443"/>
        <v>16901656.200161275</v>
      </c>
      <c r="R793" s="89">
        <f t="shared" si="443"/>
        <v>204483.60744465588</v>
      </c>
      <c r="S793" s="89">
        <f t="shared" si="443"/>
        <v>198532.44968251768</v>
      </c>
      <c r="T793" s="89">
        <f t="shared" si="443"/>
        <v>42141.594768096416</v>
      </c>
      <c r="U793" s="89">
        <f t="shared" si="443"/>
        <v>35244.54210091164</v>
      </c>
      <c r="V793" s="89">
        <f t="shared" si="443"/>
        <v>196302.7753636514</v>
      </c>
      <c r="W793" s="89">
        <f>W684</f>
        <v>24384.708324035404</v>
      </c>
      <c r="X793" s="89">
        <f>SUM(G793:W793)</f>
        <v>1336211707.7066619</v>
      </c>
      <c r="Y793" s="87" t="str">
        <f>IF(ABS(F793-X793)&lt;0.01,"ok","err")</f>
        <v>ok</v>
      </c>
      <c r="Z793" s="91" t="str">
        <f>IF(Y793="err",X793-F793,"")</f>
        <v/>
      </c>
    </row>
    <row r="794" spans="1:26" ht="12" customHeight="1" x14ac:dyDescent="0.5">
      <c r="E794" s="216"/>
      <c r="F794" s="89"/>
      <c r="G794" s="89"/>
      <c r="H794" s="89"/>
      <c r="I794" s="89"/>
      <c r="J794" s="89"/>
      <c r="K794" s="89"/>
      <c r="L794" s="89"/>
      <c r="M794" s="89"/>
      <c r="N794" s="89"/>
      <c r="O794" s="89"/>
      <c r="P794" s="89"/>
      <c r="Q794" s="89"/>
      <c r="R794" s="89"/>
      <c r="S794" s="89"/>
      <c r="T794" s="89"/>
      <c r="U794" s="89"/>
      <c r="V794" s="89"/>
      <c r="W794" s="91"/>
      <c r="X794" s="91"/>
      <c r="Y794" s="217"/>
    </row>
    <row r="795" spans="1:26" ht="12" customHeight="1" x14ac:dyDescent="0.5">
      <c r="A795" s="86" t="s">
        <v>195</v>
      </c>
      <c r="E795" s="216"/>
      <c r="F795" s="89"/>
      <c r="G795" s="89"/>
      <c r="H795" s="89"/>
      <c r="I795" s="89"/>
      <c r="J795" s="89"/>
      <c r="K795" s="89"/>
      <c r="L795" s="89"/>
      <c r="M795" s="89"/>
      <c r="N795" s="89"/>
      <c r="O795" s="89"/>
      <c r="P795" s="89"/>
      <c r="Q795" s="89"/>
      <c r="R795" s="89"/>
      <c r="S795" s="89"/>
      <c r="T795" s="89"/>
      <c r="U795" s="89"/>
      <c r="V795" s="89"/>
      <c r="W795" s="89"/>
      <c r="X795" s="89"/>
      <c r="Y795" s="87"/>
      <c r="Z795" s="91" t="str">
        <f>IF(Y795="err",X795-F795,"")</f>
        <v/>
      </c>
    </row>
    <row r="796" spans="1:26" ht="12" customHeight="1" x14ac:dyDescent="0.5">
      <c r="A796" s="86" t="s">
        <v>2179</v>
      </c>
      <c r="E796" s="218">
        <v>3.16E-3</v>
      </c>
      <c r="F796" s="89">
        <f t="shared" ref="F796:W796" si="444">SUM(F781:F785)*$E$796</f>
        <v>538696.13960400003</v>
      </c>
      <c r="G796" s="89">
        <f t="shared" si="444"/>
        <v>215299.42928188317</v>
      </c>
      <c r="H796" s="89">
        <f t="shared" ref="H796" si="445">SUM(H781:H785)*$E$796</f>
        <v>323.38738046677588</v>
      </c>
      <c r="I796" s="89">
        <f t="shared" si="444"/>
        <v>84711.967780411956</v>
      </c>
      <c r="J796" s="89">
        <f t="shared" si="444"/>
        <v>4650.8848687326199</v>
      </c>
      <c r="K796" s="89">
        <f t="shared" si="444"/>
        <v>59222.551315065</v>
      </c>
      <c r="L796" s="89">
        <f t="shared" si="444"/>
        <v>3312.7126809828292</v>
      </c>
      <c r="M796" s="89">
        <f t="shared" si="444"/>
        <v>46020.462311750402</v>
      </c>
      <c r="N796" s="89">
        <f t="shared" si="444"/>
        <v>85171.219050935353</v>
      </c>
      <c r="O796" s="89">
        <f t="shared" si="444"/>
        <v>27770.04515416998</v>
      </c>
      <c r="P796" s="89">
        <f t="shared" si="444"/>
        <v>11104.746859708499</v>
      </c>
      <c r="Q796" s="89">
        <f t="shared" si="444"/>
        <v>5.5329958934384225</v>
      </c>
      <c r="R796" s="89">
        <f t="shared" si="444"/>
        <v>5.688E-2</v>
      </c>
      <c r="S796" s="89">
        <f t="shared" si="444"/>
        <v>6.3200000000000001E-3</v>
      </c>
      <c r="T796" s="89">
        <f t="shared" si="444"/>
        <v>-15.04792</v>
      </c>
      <c r="U796" s="89">
        <f t="shared" si="444"/>
        <v>153.04316079999998</v>
      </c>
      <c r="V796" s="89">
        <f t="shared" si="444"/>
        <v>934.87342320000005</v>
      </c>
      <c r="W796" s="89">
        <f t="shared" si="444"/>
        <v>30.268060000000002</v>
      </c>
      <c r="X796" s="89">
        <f>SUM(G796:W796)</f>
        <v>538696.13960400003</v>
      </c>
      <c r="Y796" s="87" t="str">
        <f>IF(ABS(F796-X796)&lt;0.01,"ok","err")</f>
        <v>ok</v>
      </c>
      <c r="Z796" s="91" t="str">
        <f>IF(Y796="err",X796-F796,"")</f>
        <v/>
      </c>
    </row>
    <row r="797" spans="1:26" ht="12" customHeight="1" x14ac:dyDescent="0.5">
      <c r="A797" s="86" t="s">
        <v>2180</v>
      </c>
      <c r="E797" s="218">
        <v>2E-3</v>
      </c>
      <c r="F797" s="89">
        <f t="shared" ref="F797:W797" si="446">SUM(F781:F785)*$E$797</f>
        <v>340946.92380000005</v>
      </c>
      <c r="G797" s="89">
        <f t="shared" si="446"/>
        <v>136265.46157081213</v>
      </c>
      <c r="H797" s="89">
        <f t="shared" ref="H797" si="447">SUM(H781:H785)*$E$797</f>
        <v>204.67555725745311</v>
      </c>
      <c r="I797" s="89">
        <f t="shared" si="446"/>
        <v>53615.169481273391</v>
      </c>
      <c r="J797" s="89">
        <f t="shared" si="446"/>
        <v>2943.5980181852024</v>
      </c>
      <c r="K797" s="89">
        <f t="shared" si="446"/>
        <v>37482.627414598101</v>
      </c>
      <c r="L797" s="89">
        <f t="shared" si="446"/>
        <v>2096.6535955587524</v>
      </c>
      <c r="M797" s="89">
        <f t="shared" si="446"/>
        <v>29126.874880854684</v>
      </c>
      <c r="N797" s="89">
        <f t="shared" si="446"/>
        <v>53905.834842364151</v>
      </c>
      <c r="O797" s="89">
        <f t="shared" si="446"/>
        <v>17575.977945677201</v>
      </c>
      <c r="P797" s="89">
        <f t="shared" si="446"/>
        <v>7028.32079728386</v>
      </c>
      <c r="Q797" s="89">
        <f t="shared" si="446"/>
        <v>3.501896135087609</v>
      </c>
      <c r="R797" s="89">
        <f t="shared" si="446"/>
        <v>3.6000000000000004E-2</v>
      </c>
      <c r="S797" s="89">
        <f t="shared" si="446"/>
        <v>4.0000000000000001E-3</v>
      </c>
      <c r="T797" s="89">
        <f t="shared" si="446"/>
        <v>-9.5240000000000009</v>
      </c>
      <c r="U797" s="89">
        <f t="shared" si="446"/>
        <v>96.862759999999994</v>
      </c>
      <c r="V797" s="89">
        <f t="shared" si="446"/>
        <v>591.69204000000002</v>
      </c>
      <c r="W797" s="89">
        <f t="shared" si="446"/>
        <v>19.157</v>
      </c>
      <c r="X797" s="89">
        <f>SUM(G797:W797)</f>
        <v>340946.92380000005</v>
      </c>
      <c r="Y797" s="87" t="str">
        <f>IF(ABS(F797-X797)&lt;0.01,"ok","err")</f>
        <v>ok</v>
      </c>
      <c r="Z797" s="91" t="str">
        <f>IF(Y797="err",X797-F797,"")</f>
        <v/>
      </c>
    </row>
    <row r="798" spans="1:26" ht="12" customHeight="1" x14ac:dyDescent="0.5">
      <c r="X798" s="91"/>
    </row>
    <row r="799" spans="1:26" ht="12" customHeight="1" x14ac:dyDescent="0.5">
      <c r="A799" s="86" t="s">
        <v>911</v>
      </c>
      <c r="E799" s="196">
        <f>0.0497535+0.19851647</f>
        <v>0.24826997000000001</v>
      </c>
      <c r="F799" s="89">
        <f t="shared" ref="F799:W799" si="448">SUM(F781:F786)*$E$799</f>
        <v>42323441.271709144</v>
      </c>
      <c r="G799" s="89">
        <f t="shared" si="448"/>
        <v>16915311.028110843</v>
      </c>
      <c r="H799" s="89">
        <f t="shared" ref="H799" si="449">SUM(H781:H786)*$E$799</f>
        <v>25407.397230020582</v>
      </c>
      <c r="I799" s="89">
        <f t="shared" si="448"/>
        <v>6655518.2593303304</v>
      </c>
      <c r="J799" s="89">
        <f t="shared" si="448"/>
        <v>365403.49583344982</v>
      </c>
      <c r="K799" s="89">
        <f t="shared" si="448"/>
        <v>4652905.3918717243</v>
      </c>
      <c r="L799" s="89">
        <f t="shared" si="448"/>
        <v>260268.06263488182</v>
      </c>
      <c r="M799" s="89">
        <f t="shared" si="448"/>
        <v>3615664.1764317732</v>
      </c>
      <c r="N799" s="89">
        <f t="shared" si="448"/>
        <v>6691599.9995693509</v>
      </c>
      <c r="O799" s="89">
        <f t="shared" si="448"/>
        <v>2181793.7586469701</v>
      </c>
      <c r="P799" s="89">
        <f t="shared" si="448"/>
        <v>872460.49674602004</v>
      </c>
      <c r="Q799" s="89">
        <f t="shared" si="448"/>
        <v>434.70782420065831</v>
      </c>
      <c r="R799" s="89">
        <f t="shared" si="448"/>
        <v>4.46885946</v>
      </c>
      <c r="S799" s="89">
        <f t="shared" si="448"/>
        <v>0.49653994000000001</v>
      </c>
      <c r="T799" s="89">
        <f t="shared" si="448"/>
        <v>-1182.26159714</v>
      </c>
      <c r="U799" s="89">
        <f t="shared" si="448"/>
        <v>12024.057259658599</v>
      </c>
      <c r="V799" s="89">
        <f t="shared" si="448"/>
        <v>73449.682510019411</v>
      </c>
      <c r="W799" s="89">
        <f t="shared" si="448"/>
        <v>2378.053907645</v>
      </c>
      <c r="X799" s="89">
        <f>SUM(G799:W799)</f>
        <v>42323441.271709144</v>
      </c>
      <c r="Y799" s="87" t="str">
        <f>IF(ABS(F799-X799)&lt;0.01,"ok","err")</f>
        <v>ok</v>
      </c>
      <c r="Z799" s="91" t="str">
        <f>IF(Y799="err",X799-F799,"")</f>
        <v/>
      </c>
    </row>
    <row r="800" spans="1:26" ht="12" customHeight="1" x14ac:dyDescent="0.5">
      <c r="F800" s="89"/>
      <c r="G800" s="89"/>
      <c r="H800" s="89"/>
      <c r="I800" s="89"/>
      <c r="J800" s="89"/>
      <c r="K800" s="89"/>
      <c r="L800" s="89"/>
      <c r="M800" s="89"/>
      <c r="N800" s="89"/>
      <c r="O800" s="89"/>
      <c r="P800" s="89"/>
      <c r="Q800" s="89"/>
      <c r="R800" s="89"/>
      <c r="S800" s="89"/>
      <c r="T800" s="89"/>
      <c r="U800" s="89"/>
      <c r="V800" s="89"/>
      <c r="W800" s="91"/>
      <c r="X800" s="91"/>
      <c r="Y800" s="217"/>
    </row>
    <row r="801" spans="1:26" ht="12" customHeight="1" x14ac:dyDescent="0.5">
      <c r="A801" s="86" t="s">
        <v>196</v>
      </c>
      <c r="F801" s="89">
        <f>SUM(F793:F799)</f>
        <v>1379414792.0401473</v>
      </c>
      <c r="G801" s="89">
        <f t="shared" ref="G801:W801" si="450">SUM(G793:G799)</f>
        <v>584258326.89705789</v>
      </c>
      <c r="H801" s="89">
        <f t="shared" ref="H801" si="451">SUM(H793:H799)</f>
        <v>938654.2042106482</v>
      </c>
      <c r="I801" s="89">
        <f t="shared" si="450"/>
        <v>169293869.54506874</v>
      </c>
      <c r="J801" s="89">
        <f t="shared" si="450"/>
        <v>10432954.932254257</v>
      </c>
      <c r="K801" s="89">
        <f t="shared" si="450"/>
        <v>133177970.60296936</v>
      </c>
      <c r="L801" s="89">
        <f t="shared" si="450"/>
        <v>6321305.8585644402</v>
      </c>
      <c r="M801" s="89">
        <f t="shared" si="450"/>
        <v>124813793.72834226</v>
      </c>
      <c r="N801" s="89">
        <f t="shared" si="450"/>
        <v>239058258.47397807</v>
      </c>
      <c r="O801" s="89">
        <f t="shared" si="450"/>
        <v>75375988.411225826</v>
      </c>
      <c r="P801" s="89">
        <f t="shared" si="450"/>
        <v>18052003.842339005</v>
      </c>
      <c r="Q801" s="89">
        <f t="shared" si="450"/>
        <v>16902099.942877505</v>
      </c>
      <c r="R801" s="89">
        <f t="shared" si="450"/>
        <v>204488.16918411586</v>
      </c>
      <c r="S801" s="89">
        <f t="shared" si="450"/>
        <v>198532.95654245766</v>
      </c>
      <c r="T801" s="89">
        <f t="shared" si="450"/>
        <v>40934.761250956421</v>
      </c>
      <c r="U801" s="89">
        <f t="shared" si="450"/>
        <v>47518.505281370242</v>
      </c>
      <c r="V801" s="89">
        <f t="shared" si="450"/>
        <v>271279.02333687083</v>
      </c>
      <c r="W801" s="89">
        <f t="shared" si="450"/>
        <v>26812.187291680402</v>
      </c>
      <c r="X801" s="89">
        <f>SUM(G801:W801)</f>
        <v>1379414792.0417759</v>
      </c>
      <c r="Y801" s="87" t="str">
        <f>IF(ABS(F801-X801)&lt;0.01,"ok","err")</f>
        <v>ok</v>
      </c>
      <c r="Z801" s="91" t="str">
        <f>IF(Y801="err",X801-F801,"")</f>
        <v/>
      </c>
    </row>
    <row r="802" spans="1:26" ht="12" customHeight="1" x14ac:dyDescent="0.5">
      <c r="E802" s="91"/>
      <c r="X802" s="91"/>
    </row>
    <row r="803" spans="1:26" ht="12" customHeight="1" x14ac:dyDescent="0.5">
      <c r="A803" s="86" t="s">
        <v>910</v>
      </c>
      <c r="F803" s="89">
        <f>F788-F801</f>
        <v>377244908.30196714</v>
      </c>
      <c r="G803" s="89">
        <f t="shared" ref="G803:W803" si="452">G788-G801</f>
        <v>116228883.38722873</v>
      </c>
      <c r="H803" s="89">
        <f t="shared" ref="H803" si="453">H788-H801</f>
        <v>214904.26178284327</v>
      </c>
      <c r="I803" s="89">
        <f t="shared" si="452"/>
        <v>87461712.766634673</v>
      </c>
      <c r="J803" s="89">
        <f>J788-J801</f>
        <v>3379948.2267674115</v>
      </c>
      <c r="K803" s="89">
        <f t="shared" si="452"/>
        <v>59641936.461607441</v>
      </c>
      <c r="L803" s="89">
        <f>L788-L801</f>
        <v>4345591.8863830362</v>
      </c>
      <c r="M803" s="89">
        <f t="shared" si="452"/>
        <v>27668027.132632315</v>
      </c>
      <c r="N803" s="89">
        <f t="shared" si="452"/>
        <v>43855289.167142302</v>
      </c>
      <c r="O803" s="89">
        <f t="shared" si="452"/>
        <v>14528101.494708374</v>
      </c>
      <c r="P803" s="89">
        <f t="shared" si="452"/>
        <v>5498434.5447526425</v>
      </c>
      <c r="Q803" s="89">
        <f t="shared" si="452"/>
        <v>13968672.867836278</v>
      </c>
      <c r="R803" s="89">
        <f t="shared" si="452"/>
        <v>111878.24464485227</v>
      </c>
      <c r="S803" s="89">
        <f t="shared" si="452"/>
        <v>76264.768050308776</v>
      </c>
      <c r="T803" s="89">
        <f t="shared" si="452"/>
        <v>49411.303609820738</v>
      </c>
      <c r="U803" s="89">
        <f t="shared" si="452"/>
        <v>7659.3571868236031</v>
      </c>
      <c r="V803" s="89">
        <f t="shared" si="452"/>
        <v>187070.99666312942</v>
      </c>
      <c r="W803" s="89">
        <f t="shared" si="452"/>
        <v>21121.4327083196</v>
      </c>
      <c r="X803" s="89">
        <f>SUM(G803:W803)</f>
        <v>377244908.3003394</v>
      </c>
      <c r="Y803" s="87" t="str">
        <f>IF(ABS(F803-X803)&lt;0.01,"ok","err")</f>
        <v>ok</v>
      </c>
      <c r="Z803" s="91" t="str">
        <f>IF(Y803="err",X803-F803,"")</f>
        <v/>
      </c>
    </row>
    <row r="804" spans="1:26" ht="12" customHeight="1" x14ac:dyDescent="0.5">
      <c r="X804" s="91"/>
    </row>
    <row r="805" spans="1:26" ht="12" customHeight="1" x14ac:dyDescent="0.5">
      <c r="A805" s="288" t="s">
        <v>400</v>
      </c>
      <c r="F805" s="91">
        <f t="shared" ref="F805:W805" si="454">F756</f>
        <v>5197832023.3399992</v>
      </c>
      <c r="G805" s="91">
        <f t="shared" si="454"/>
        <v>2446199408.7285142</v>
      </c>
      <c r="H805" s="91">
        <f t="shared" ref="H805" si="455">H756</f>
        <v>11340629.922834281</v>
      </c>
      <c r="I805" s="91">
        <f t="shared" si="454"/>
        <v>610148565.20987535</v>
      </c>
      <c r="J805" s="91">
        <f t="shared" si="454"/>
        <v>38738639.515784226</v>
      </c>
      <c r="K805" s="91">
        <f t="shared" si="454"/>
        <v>458864450.23790866</v>
      </c>
      <c r="L805" s="91">
        <f t="shared" si="454"/>
        <v>19887373.090099089</v>
      </c>
      <c r="M805" s="91">
        <f t="shared" si="454"/>
        <v>424829680.24150598</v>
      </c>
      <c r="N805" s="91">
        <f t="shared" si="454"/>
        <v>740452252.7798897</v>
      </c>
      <c r="O805" s="91">
        <f t="shared" si="454"/>
        <v>225535968.00398141</v>
      </c>
      <c r="P805" s="91">
        <f t="shared" si="454"/>
        <v>104333029.76968977</v>
      </c>
      <c r="Q805" s="91">
        <f t="shared" si="454"/>
        <v>113340011.04474315</v>
      </c>
      <c r="R805" s="91">
        <f t="shared" si="454"/>
        <v>398642.54509885528</v>
      </c>
      <c r="S805" s="91">
        <f t="shared" si="454"/>
        <v>615301.08940570417</v>
      </c>
      <c r="T805" s="91">
        <f t="shared" si="454"/>
        <v>174628.96328485516</v>
      </c>
      <c r="U805" s="91">
        <f t="shared" si="454"/>
        <v>105538.39738445418</v>
      </c>
      <c r="V805" s="91">
        <f t="shared" si="454"/>
        <v>2576969.3631635425</v>
      </c>
      <c r="W805" s="91">
        <f t="shared" si="454"/>
        <v>290934.43683645804</v>
      </c>
      <c r="X805" s="89">
        <f>SUM(G805:W805)</f>
        <v>5197832023.3400011</v>
      </c>
      <c r="Y805" s="87" t="str">
        <f>IF(ABS(F805-X805)&lt;0.01,"ok","err")</f>
        <v>ok</v>
      </c>
      <c r="Z805" s="91" t="str">
        <f>IF(Y805="err",X805-F805,"")</f>
        <v/>
      </c>
    </row>
    <row r="806" spans="1:26" ht="12" customHeight="1" thickBot="1" x14ac:dyDescent="0.55000000000000004"/>
    <row r="807" spans="1:26" ht="12" customHeight="1" thickBot="1" x14ac:dyDescent="0.55000000000000004">
      <c r="A807" s="391" t="s">
        <v>421</v>
      </c>
      <c r="B807" s="392"/>
      <c r="C807" s="392"/>
      <c r="D807" s="392"/>
      <c r="E807" s="392"/>
      <c r="F807" s="393">
        <f t="shared" ref="F807:Q807" si="456">F803/F805</f>
        <v>7.2577356599446016E-2</v>
      </c>
      <c r="G807" s="393">
        <f t="shared" si="456"/>
        <v>4.7514067321127423E-2</v>
      </c>
      <c r="H807" s="393">
        <f t="shared" ref="H807" si="457">H803/H805</f>
        <v>1.8949940457023026E-2</v>
      </c>
      <c r="I807" s="393">
        <f t="shared" si="456"/>
        <v>0.14334494540120749</v>
      </c>
      <c r="J807" s="393">
        <f>J803/J805</f>
        <v>8.7250049795637163E-2</v>
      </c>
      <c r="K807" s="393">
        <f t="shared" si="456"/>
        <v>0.12997724367334346</v>
      </c>
      <c r="L807" s="393">
        <f>L803/L805</f>
        <v>0.21851010018746445</v>
      </c>
      <c r="M807" s="393">
        <f t="shared" si="456"/>
        <v>6.5127340248222948E-2</v>
      </c>
      <c r="N807" s="393">
        <f t="shared" si="456"/>
        <v>5.9227707124255222E-2</v>
      </c>
      <c r="O807" s="393">
        <f t="shared" si="456"/>
        <v>6.4415896157423144E-2</v>
      </c>
      <c r="P807" s="393">
        <f t="shared" si="456"/>
        <v>5.2700803924607353E-2</v>
      </c>
      <c r="Q807" s="393">
        <f t="shared" si="456"/>
        <v>0.12324573413286395</v>
      </c>
      <c r="R807" s="393">
        <f t="shared" ref="R807:W807" si="458">R803/R805</f>
        <v>0.28064802921903065</v>
      </c>
      <c r="S807" s="393">
        <f t="shared" si="458"/>
        <v>0.12394707138251616</v>
      </c>
      <c r="T807" s="393">
        <f t="shared" si="458"/>
        <v>0.28295022017178734</v>
      </c>
      <c r="U807" s="393">
        <f t="shared" si="458"/>
        <v>7.2574128247581554E-2</v>
      </c>
      <c r="V807" s="393">
        <f t="shared" si="458"/>
        <v>7.2593411212881889E-2</v>
      </c>
      <c r="W807" s="393">
        <f t="shared" si="458"/>
        <v>7.2598599663856622E-2</v>
      </c>
      <c r="Y807" s="388"/>
    </row>
    <row r="808" spans="1:26" ht="12" customHeight="1" x14ac:dyDescent="0.5">
      <c r="M808" s="101"/>
      <c r="N808" s="101"/>
      <c r="O808" s="101"/>
      <c r="S808" s="218"/>
    </row>
    <row r="809" spans="1:26" ht="12" customHeight="1" x14ac:dyDescent="0.5">
      <c r="A809" s="197"/>
      <c r="T809" s="196"/>
    </row>
    <row r="810" spans="1:26" ht="12" customHeight="1" x14ac:dyDescent="0.5">
      <c r="A810" s="197"/>
      <c r="F810" s="91"/>
      <c r="T810" s="196"/>
    </row>
    <row r="811" spans="1:26" ht="12" customHeight="1" x14ac:dyDescent="0.5">
      <c r="S811" s="218"/>
      <c r="T811" s="219"/>
    </row>
    <row r="812" spans="1:26" ht="12" customHeight="1" x14ac:dyDescent="0.5">
      <c r="A812" s="22" t="s">
        <v>497</v>
      </c>
    </row>
    <row r="814" spans="1:26" ht="12" customHeight="1" x14ac:dyDescent="0.5">
      <c r="A814" s="22" t="s">
        <v>424</v>
      </c>
    </row>
    <row r="815" spans="1:26" ht="12" customHeight="1" x14ac:dyDescent="0.5">
      <c r="A815" s="86" t="s">
        <v>425</v>
      </c>
      <c r="D815" s="86" t="s">
        <v>390</v>
      </c>
      <c r="E815" s="86" t="s">
        <v>104</v>
      </c>
      <c r="F815" s="107">
        <v>1</v>
      </c>
      <c r="G815" s="107">
        <f t="shared" ref="G815:W815" si="459">IF(VLOOKUP($E815,$D$5:$AK$997,3,)=0,0,(VLOOKUP($E815,$D$5:$AK$997,G$1,)/VLOOKUP($E815,$D$5:$AK$997,3,))*$F815)</f>
        <v>0.34472667630326076</v>
      </c>
      <c r="H815" s="107">
        <f t="shared" si="459"/>
        <v>5.6682881492203341E-4</v>
      </c>
      <c r="I815" s="107">
        <f t="shared" si="459"/>
        <v>9.7491810744911353E-2</v>
      </c>
      <c r="J815" s="107">
        <f t="shared" si="459"/>
        <v>7.4680305447254267E-3</v>
      </c>
      <c r="K815" s="107">
        <f t="shared" si="459"/>
        <v>9.8714323735285936E-2</v>
      </c>
      <c r="L815" s="107">
        <f t="shared" si="459"/>
        <v>4.4612030860622575E-3</v>
      </c>
      <c r="M815" s="107">
        <f t="shared" si="459"/>
        <v>0.10365291292859578</v>
      </c>
      <c r="N815" s="107">
        <f t="shared" si="459"/>
        <v>0.22395812598660461</v>
      </c>
      <c r="O815" s="107">
        <f t="shared" si="459"/>
        <v>7.7945538897684644E-2</v>
      </c>
      <c r="P815" s="107">
        <f t="shared" si="459"/>
        <v>3.3621992464083955E-2</v>
      </c>
      <c r="Q815" s="107">
        <f t="shared" si="459"/>
        <v>6.9800031238465652E-3</v>
      </c>
      <c r="R815" s="107">
        <f t="shared" si="459"/>
        <v>2.5395399734172127E-4</v>
      </c>
      <c r="S815" s="107">
        <f t="shared" si="459"/>
        <v>1.3900079575850661E-4</v>
      </c>
      <c r="T815" s="107">
        <f t="shared" si="459"/>
        <v>1.8962438672518194E-5</v>
      </c>
      <c r="U815" s="107">
        <f t="shared" si="459"/>
        <v>6.3613824378938511E-7</v>
      </c>
      <c r="V815" s="107">
        <f t="shared" si="459"/>
        <v>0</v>
      </c>
      <c r="W815" s="107">
        <f t="shared" si="459"/>
        <v>0</v>
      </c>
      <c r="X815" s="107">
        <f>SUM(G815:W815)</f>
        <v>0.99999999999999978</v>
      </c>
      <c r="Y815" s="87" t="str">
        <f>IF(ABS(F815-X815)&lt;0.01,"ok","err")</f>
        <v>ok</v>
      </c>
      <c r="Z815" s="91" t="str">
        <f>IF(Y815="err",X815-F815,"")</f>
        <v/>
      </c>
    </row>
    <row r="817" spans="1:26" ht="12" customHeight="1" x14ac:dyDescent="0.5">
      <c r="A817" s="22" t="s">
        <v>426</v>
      </c>
    </row>
    <row r="818" spans="1:26" ht="12" customHeight="1" x14ac:dyDescent="0.5">
      <c r="A818" s="86" t="s">
        <v>434</v>
      </c>
      <c r="D818" s="86" t="s">
        <v>816</v>
      </c>
      <c r="E818" s="86" t="s">
        <v>905</v>
      </c>
      <c r="F818" s="103">
        <v>1</v>
      </c>
      <c r="G818" s="106">
        <f t="shared" ref="G818:W818" si="460">IF(VLOOKUP($E818,$D$5:$AK$997,3,)=0,0,(VLOOKUP($E818,$D$5:$AK$997,G$1,)/VLOOKUP($E818,$D$5:$AK$997,3,))*$F818)</f>
        <v>0.80214148472884572</v>
      </c>
      <c r="H818" s="106">
        <f t="shared" si="460"/>
        <v>1.173167515972149E-3</v>
      </c>
      <c r="I818" s="106">
        <f t="shared" si="460"/>
        <v>0.1503397827279232</v>
      </c>
      <c r="J818" s="106">
        <f t="shared" si="460"/>
        <v>7.7000468540586869E-4</v>
      </c>
      <c r="K818" s="106">
        <f t="shared" si="460"/>
        <v>8.0650726601119421E-3</v>
      </c>
      <c r="L818" s="106">
        <f t="shared" si="460"/>
        <v>3.7047395241225758E-4</v>
      </c>
      <c r="M818" s="106">
        <f t="shared" si="460"/>
        <v>1.3910933703323006E-3</v>
      </c>
      <c r="N818" s="106">
        <f t="shared" si="460"/>
        <v>4.6490848930165658E-4</v>
      </c>
      <c r="O818" s="106">
        <f t="shared" si="460"/>
        <v>0</v>
      </c>
      <c r="P818" s="106">
        <f t="shared" si="460"/>
        <v>0</v>
      </c>
      <c r="Q818" s="106">
        <f t="shared" si="460"/>
        <v>3.4968019380872649E-2</v>
      </c>
      <c r="R818" s="106">
        <f t="shared" si="460"/>
        <v>2.1792585436015154E-5</v>
      </c>
      <c r="S818" s="106">
        <f t="shared" si="460"/>
        <v>2.6877522037752023E-4</v>
      </c>
      <c r="T818" s="106">
        <f t="shared" si="460"/>
        <v>7.2641951453383841E-6</v>
      </c>
      <c r="U818" s="106">
        <f t="shared" si="460"/>
        <v>1.8160487863345959E-5</v>
      </c>
      <c r="V818" s="106">
        <f t="shared" si="460"/>
        <v>0</v>
      </c>
      <c r="W818" s="106">
        <f t="shared" si="460"/>
        <v>0</v>
      </c>
      <c r="X818" s="103">
        <f t="shared" ref="X818:X823" si="461">SUM(G818:W818)</f>
        <v>1</v>
      </c>
      <c r="Y818" s="87" t="str">
        <f t="shared" ref="Y818:Y823" si="462">IF(ABS(F818-X818)&lt;0.01,"ok","err")</f>
        <v>ok</v>
      </c>
      <c r="Z818" s="91" t="str">
        <f t="shared" ref="Z818:Z823" si="463">IF(Y818="err",X818-F818,"")</f>
        <v/>
      </c>
    </row>
    <row r="819" spans="1:26" ht="12" customHeight="1" x14ac:dyDescent="0.5">
      <c r="A819" s="86" t="s">
        <v>1472</v>
      </c>
      <c r="D819" s="86" t="s">
        <v>393</v>
      </c>
      <c r="F819" s="103">
        <v>1</v>
      </c>
      <c r="G819" s="107">
        <f>Services!F10</f>
        <v>0.78970813484036173</v>
      </c>
      <c r="H819" s="107">
        <f>Services!F12</f>
        <v>1.155430596758339E-3</v>
      </c>
      <c r="I819" s="107">
        <f>Services!F14</f>
        <v>0.17779177664292514</v>
      </c>
      <c r="J819" s="107">
        <f>Services!F16</f>
        <v>1.6086124019053705E-3</v>
      </c>
      <c r="K819" s="107">
        <f>Services!F18</f>
        <v>2.3104995525119073E-2</v>
      </c>
      <c r="L819" s="107">
        <f>Services!F20</f>
        <v>0</v>
      </c>
      <c r="M819" s="107">
        <f>Services!F22</f>
        <v>6.6102379692424872E-3</v>
      </c>
      <c r="N819" s="107">
        <f>Services!F24</f>
        <v>0</v>
      </c>
      <c r="O819" s="107">
        <f>Services!F26</f>
        <v>0</v>
      </c>
      <c r="P819" s="107">
        <f>Services!F28</f>
        <v>0</v>
      </c>
      <c r="Q819" s="107">
        <f>Services!F30</f>
        <v>0</v>
      </c>
      <c r="R819" s="107">
        <f>Services!F32</f>
        <v>0</v>
      </c>
      <c r="S819" s="107">
        <f>Services!F34</f>
        <v>0</v>
      </c>
      <c r="T819" s="107">
        <f>Services!F36</f>
        <v>2.0812023687899386E-5</v>
      </c>
      <c r="U819" s="107">
        <f>Services!F38</f>
        <v>0</v>
      </c>
      <c r="V819" s="107">
        <f>Services!G38</f>
        <v>0</v>
      </c>
      <c r="W819" s="107">
        <f>Services!H38</f>
        <v>0</v>
      </c>
      <c r="X819" s="103">
        <f t="shared" si="461"/>
        <v>1</v>
      </c>
      <c r="Y819" s="87" t="str">
        <f t="shared" si="462"/>
        <v>ok</v>
      </c>
      <c r="Z819" s="91" t="str">
        <f t="shared" si="463"/>
        <v/>
      </c>
    </row>
    <row r="820" spans="1:26" ht="12" customHeight="1" x14ac:dyDescent="0.5">
      <c r="A820" s="86" t="s">
        <v>435</v>
      </c>
      <c r="D820" s="86" t="s">
        <v>394</v>
      </c>
      <c r="F820" s="103">
        <v>1</v>
      </c>
      <c r="G820" s="107">
        <f>Meters!H10</f>
        <v>0.60325224703262326</v>
      </c>
      <c r="H820" s="107">
        <f>Meters!H12</f>
        <v>8.826249509581327E-4</v>
      </c>
      <c r="I820" s="107">
        <f>Meters!H14+Meters!H16</f>
        <v>0.24378643356686081</v>
      </c>
      <c r="J820" s="107">
        <f>Meters!H18+Meters!H20</f>
        <v>4.9761942299669619E-3</v>
      </c>
      <c r="K820" s="107">
        <f>Meters!H22</f>
        <v>7.6222903625319874E-2</v>
      </c>
      <c r="L820" s="107">
        <f>Meters!H24</f>
        <v>1.4906226308140371E-2</v>
      </c>
      <c r="M820" s="107">
        <f>Meters!H26</f>
        <v>1.3633378875441851E-2</v>
      </c>
      <c r="N820" s="107">
        <f>Meters!H28</f>
        <v>2.6405957284268641E-2</v>
      </c>
      <c r="O820" s="107">
        <f>Meters!H30</f>
        <v>1.309188503755108E-2</v>
      </c>
      <c r="P820" s="107">
        <f>Meters!H32</f>
        <v>8.0815633183594531E-4</v>
      </c>
      <c r="Q820" s="107">
        <f>Meters!H34</f>
        <v>0</v>
      </c>
      <c r="R820" s="107">
        <f>Meters!H36</f>
        <v>1.4750250631099163E-4</v>
      </c>
      <c r="S820" s="107">
        <f>Meters!H38</f>
        <v>1.8178318138882396E-3</v>
      </c>
      <c r="T820" s="107">
        <f>Meters!H40</f>
        <v>6.8658436833973541E-5</v>
      </c>
      <c r="U820" s="107">
        <f>Meters!H42</f>
        <v>0</v>
      </c>
      <c r="V820" s="107">
        <f>Meters!I42</f>
        <v>0</v>
      </c>
      <c r="W820" s="107">
        <f>Meters!J42</f>
        <v>0</v>
      </c>
      <c r="X820" s="103">
        <f t="shared" si="461"/>
        <v>1.0000000000000002</v>
      </c>
      <c r="Y820" s="87" t="str">
        <f t="shared" si="462"/>
        <v>ok</v>
      </c>
      <c r="Z820" s="91" t="str">
        <f t="shared" si="463"/>
        <v/>
      </c>
    </row>
    <row r="821" spans="1:26" ht="12" customHeight="1" x14ac:dyDescent="0.5">
      <c r="A821" s="86" t="s">
        <v>436</v>
      </c>
      <c r="D821" s="86" t="s">
        <v>395</v>
      </c>
      <c r="E821" s="86" t="s">
        <v>496</v>
      </c>
      <c r="F821" s="103">
        <v>1</v>
      </c>
      <c r="G821" s="106">
        <f t="shared" ref="G821:Q822" si="464">IF(VLOOKUP($E821,$D$5:$AK$997,3,)=0,0,(VLOOKUP($E821,$D$5:$AK$997,G$1,)/VLOOKUP($E821,$D$5:$AK$997,3,))*$F821)</f>
        <v>0</v>
      </c>
      <c r="H821" s="106">
        <f t="shared" si="464"/>
        <v>0</v>
      </c>
      <c r="I821" s="106">
        <f t="shared" si="464"/>
        <v>0</v>
      </c>
      <c r="J821" s="106">
        <f t="shared" si="464"/>
        <v>0</v>
      </c>
      <c r="K821" s="106">
        <f t="shared" si="464"/>
        <v>0</v>
      </c>
      <c r="L821" s="106">
        <f t="shared" si="464"/>
        <v>0</v>
      </c>
      <c r="M821" s="106">
        <f t="shared" si="464"/>
        <v>0</v>
      </c>
      <c r="N821" s="106">
        <f t="shared" si="464"/>
        <v>0</v>
      </c>
      <c r="O821" s="106">
        <f t="shared" si="464"/>
        <v>0</v>
      </c>
      <c r="P821" s="106">
        <f t="shared" si="464"/>
        <v>0</v>
      </c>
      <c r="Q821" s="106">
        <f t="shared" si="464"/>
        <v>1</v>
      </c>
      <c r="R821" s="106">
        <v>0</v>
      </c>
      <c r="S821" s="106">
        <v>0</v>
      </c>
      <c r="T821" s="106">
        <f t="shared" ref="T821:W822" si="465">IF(VLOOKUP($E821,$D$5:$AK$997,3,)=0,0,(VLOOKUP($E821,$D$5:$AK$997,T$1,)/VLOOKUP($E821,$D$5:$AK$997,3,))*$F821)</f>
        <v>0</v>
      </c>
      <c r="U821" s="106">
        <f t="shared" si="465"/>
        <v>0</v>
      </c>
      <c r="V821" s="106">
        <f t="shared" si="465"/>
        <v>0</v>
      </c>
      <c r="W821" s="106">
        <f t="shared" si="465"/>
        <v>0</v>
      </c>
      <c r="X821" s="103">
        <f t="shared" si="461"/>
        <v>1</v>
      </c>
      <c r="Y821" s="87" t="str">
        <f t="shared" si="462"/>
        <v>ok</v>
      </c>
      <c r="Z821" s="91" t="str">
        <f t="shared" si="463"/>
        <v/>
      </c>
    </row>
    <row r="822" spans="1:26" ht="12" customHeight="1" x14ac:dyDescent="0.5">
      <c r="A822" s="86" t="s">
        <v>437</v>
      </c>
      <c r="D822" s="86" t="s">
        <v>396</v>
      </c>
      <c r="E822" s="86" t="s">
        <v>851</v>
      </c>
      <c r="F822" s="103">
        <v>1</v>
      </c>
      <c r="G822" s="106">
        <f t="shared" si="464"/>
        <v>0.64866579530935631</v>
      </c>
      <c r="H822" s="106">
        <f t="shared" si="464"/>
        <v>9.4870250980276971E-4</v>
      </c>
      <c r="I822" s="106">
        <f t="shared" si="464"/>
        <v>0.24314980981892412</v>
      </c>
      <c r="J822" s="106">
        <f t="shared" si="464"/>
        <v>6.2267780829160123E-3</v>
      </c>
      <c r="K822" s="106">
        <f t="shared" si="464"/>
        <v>3.2609813049799541E-2</v>
      </c>
      <c r="L822" s="106">
        <f t="shared" si="464"/>
        <v>1.4979513312675312E-3</v>
      </c>
      <c r="M822" s="106">
        <f t="shared" si="464"/>
        <v>2.812330195467963E-2</v>
      </c>
      <c r="N822" s="106">
        <f t="shared" si="464"/>
        <v>9.3989103138354905E-3</v>
      </c>
      <c r="O822" s="106">
        <f t="shared" si="464"/>
        <v>7.3428986826839767E-4</v>
      </c>
      <c r="P822" s="106">
        <f t="shared" si="464"/>
        <v>7.3428986826839769E-5</v>
      </c>
      <c r="Q822" s="106">
        <f t="shared" si="464"/>
        <v>2.8277502827015993E-2</v>
      </c>
      <c r="R822" s="106">
        <f>IF(VLOOKUP($E822,$D$5:$AK$997,3,)=0,0,(VLOOKUP($E822,$D$5:$AK$997,R$1,)/VLOOKUP($E822,$D$5:$AK$997,3,))*$F822)</f>
        <v>1.7622956838441543E-5</v>
      </c>
      <c r="S822" s="106">
        <f>IF(VLOOKUP($E822,$D$5:$AK$997,3,)=0,0,(VLOOKUP($E822,$D$5:$AK$997,S$1,)/VLOOKUP($E822,$D$5:$AK$997,3,))*$F822)</f>
        <v>2.1734980100744571E-4</v>
      </c>
      <c r="T822" s="106">
        <f t="shared" si="465"/>
        <v>2.9371594730735905E-5</v>
      </c>
      <c r="U822" s="106">
        <f t="shared" si="465"/>
        <v>2.9371594730735905E-5</v>
      </c>
      <c r="V822" s="106">
        <f t="shared" si="465"/>
        <v>0</v>
      </c>
      <c r="W822" s="106">
        <f t="shared" si="465"/>
        <v>0</v>
      </c>
      <c r="X822" s="103">
        <f t="shared" si="461"/>
        <v>0.99999999999999978</v>
      </c>
      <c r="Y822" s="87" t="str">
        <f t="shared" si="462"/>
        <v>ok</v>
      </c>
      <c r="Z822" s="91" t="str">
        <f t="shared" si="463"/>
        <v/>
      </c>
    </row>
    <row r="823" spans="1:26" ht="12" customHeight="1" x14ac:dyDescent="0.5">
      <c r="A823" s="86" t="s">
        <v>932</v>
      </c>
      <c r="D823" s="86" t="s">
        <v>397</v>
      </c>
      <c r="E823" s="86" t="s">
        <v>852</v>
      </c>
      <c r="F823" s="103">
        <v>1</v>
      </c>
      <c r="G823" s="106">
        <f t="shared" ref="G823:W823" si="466">IF(VLOOKUP($E823,$D$5:$AK$997,3,)=0,0,ROUND((VLOOKUP($E823,$D$5:$AK$997,G$1,)/VLOOKUP($E823,$D$5:$AK$997,3,))*$F823,10))</f>
        <v>0.80211089459999996</v>
      </c>
      <c r="H823" s="106">
        <f t="shared" si="466"/>
        <v>1.1731228E-3</v>
      </c>
      <c r="I823" s="106">
        <f t="shared" si="466"/>
        <v>0.1503340494</v>
      </c>
      <c r="J823" s="106">
        <f t="shared" si="466"/>
        <v>7.6997529999999999E-4</v>
      </c>
      <c r="K823" s="106">
        <f t="shared" si="466"/>
        <v>8.0647650999999994E-3</v>
      </c>
      <c r="L823" s="106">
        <f t="shared" si="466"/>
        <v>3.7045980000000001E-4</v>
      </c>
      <c r="M823" s="106">
        <f t="shared" si="466"/>
        <v>1.3910403E-3</v>
      </c>
      <c r="N823" s="106">
        <f t="shared" si="466"/>
        <v>4.6489079999999998E-4</v>
      </c>
      <c r="O823" s="106">
        <f t="shared" si="466"/>
        <v>3.6319599999999997E-5</v>
      </c>
      <c r="P823" s="106">
        <f t="shared" si="466"/>
        <v>1.8160000000000001E-6</v>
      </c>
      <c r="Q823" s="106">
        <f t="shared" si="466"/>
        <v>3.4966685900000002E-2</v>
      </c>
      <c r="R823" s="106">
        <f t="shared" si="466"/>
        <v>2.17918E-5</v>
      </c>
      <c r="S823" s="106">
        <f t="shared" si="466"/>
        <v>2.6876500000000002E-4</v>
      </c>
      <c r="T823" s="106">
        <f t="shared" si="466"/>
        <v>7.2639E-6</v>
      </c>
      <c r="U823" s="106">
        <f t="shared" si="466"/>
        <v>1.8159799999999998E-5</v>
      </c>
      <c r="V823" s="106">
        <f t="shared" si="466"/>
        <v>0</v>
      </c>
      <c r="W823" s="106">
        <f t="shared" si="466"/>
        <v>0</v>
      </c>
      <c r="X823" s="103">
        <f t="shared" si="461"/>
        <v>1.0000000001</v>
      </c>
      <c r="Y823" s="87" t="str">
        <f t="shared" si="462"/>
        <v>ok</v>
      </c>
      <c r="Z823" s="91" t="str">
        <f t="shared" si="463"/>
        <v/>
      </c>
    </row>
    <row r="824" spans="1:26" ht="12" customHeight="1" x14ac:dyDescent="0.5">
      <c r="F824" s="103"/>
      <c r="G824" s="106"/>
      <c r="H824" s="106"/>
      <c r="I824" s="106"/>
      <c r="J824" s="106"/>
      <c r="K824" s="106"/>
      <c r="L824" s="106"/>
      <c r="M824" s="106"/>
      <c r="N824" s="106"/>
      <c r="O824" s="106"/>
      <c r="P824" s="106"/>
      <c r="Q824" s="106"/>
      <c r="R824" s="106"/>
      <c r="S824" s="106"/>
      <c r="T824" s="106"/>
      <c r="U824" s="106"/>
      <c r="V824" s="106"/>
      <c r="W824" s="106"/>
      <c r="Y824" s="87"/>
    </row>
    <row r="825" spans="1:26" ht="12" customHeight="1" x14ac:dyDescent="0.5">
      <c r="A825" s="86" t="s">
        <v>345</v>
      </c>
      <c r="D825" s="86" t="s">
        <v>494</v>
      </c>
      <c r="F825" s="90">
        <f>'Billing Det'!D41</f>
        <v>1558608458.4696758</v>
      </c>
      <c r="G825" s="90">
        <f>'Billing Det'!D8</f>
        <v>610498742.60889256</v>
      </c>
      <c r="H825" s="90">
        <f>'Billing Det'!D10</f>
        <v>994054.40110739076</v>
      </c>
      <c r="I825" s="90">
        <f>'Billing Det'!D12</f>
        <v>224799513.08000001</v>
      </c>
      <c r="J825" s="90">
        <f>'Billing Det'!D14</f>
        <v>11901436</v>
      </c>
      <c r="K825" s="90">
        <f>'Billing Det'!D16</f>
        <v>169760856.79999998</v>
      </c>
      <c r="L825" s="90">
        <f>'Billing Det'!D18</f>
        <v>9429914.5700000003</v>
      </c>
      <c r="M825" s="90">
        <f>'Billing Det'!D20</f>
        <v>134172118.09000002</v>
      </c>
      <c r="N825" s="90">
        <f>'Billing Det'!D22</f>
        <v>250417885.84999999</v>
      </c>
      <c r="O825" s="90">
        <f>'Billing Det'!D24</f>
        <v>82247980.760000005</v>
      </c>
      <c r="P825" s="90">
        <f>'Billing Det'!D26</f>
        <v>32956814.48</v>
      </c>
      <c r="Q825" s="90">
        <f>'Billing Det'!D28</f>
        <v>30555893.249675881</v>
      </c>
      <c r="R825" s="90">
        <f>'Billing Det'!D30</f>
        <v>307245.55999999994</v>
      </c>
      <c r="S825" s="90">
        <f>'Billing Det'!D32</f>
        <v>271290.95</v>
      </c>
      <c r="T825" s="90">
        <f>'Billing Det'!D34</f>
        <v>92319.950000000012</v>
      </c>
      <c r="U825" s="90">
        <f>'Billing Det'!D36</f>
        <v>1533</v>
      </c>
      <c r="V825" s="90">
        <f>'Billing Det'!D38</f>
        <v>162504.0000000002</v>
      </c>
      <c r="W825" s="90">
        <f>'Billing Det'!D40</f>
        <v>38355.120000000003</v>
      </c>
      <c r="X825" s="94">
        <f>SUM(G825:W825)</f>
        <v>1558608458.4696758</v>
      </c>
      <c r="Y825" s="87" t="str">
        <f>IF(ABS(F825-X825)&lt;0.01,"ok","err")</f>
        <v>ok</v>
      </c>
      <c r="Z825" s="91" t="str">
        <f>IF(Y825="err",X825-F825,"")</f>
        <v/>
      </c>
    </row>
    <row r="826" spans="1:26" ht="12" customHeight="1" x14ac:dyDescent="0.5">
      <c r="A826" s="86" t="s">
        <v>1845</v>
      </c>
      <c r="F826" s="90">
        <f>'Billing Det'!C41</f>
        <v>17402124383.080002</v>
      </c>
      <c r="G826" s="90">
        <f>'Billing Det'!C8</f>
        <v>5933862870.8046446</v>
      </c>
      <c r="H826" s="90">
        <f>'Billing Det'!C10</f>
        <v>9756960.1953553148</v>
      </c>
      <c r="I826" s="90">
        <f>'Billing Det'!C12</f>
        <v>1678149896</v>
      </c>
      <c r="J826" s="90">
        <f>'Billing Det'!C14</f>
        <v>128548999</v>
      </c>
      <c r="K826" s="90">
        <f>'Billing Det'!C16</f>
        <v>1699193305</v>
      </c>
      <c r="L826" s="90">
        <f>'Billing Det'!C18</f>
        <v>78721459</v>
      </c>
      <c r="M826" s="90">
        <f>'Billing Det'!C20</f>
        <v>1784202424</v>
      </c>
      <c r="N826" s="90">
        <f>'Billing Det'!C22</f>
        <v>3951918371</v>
      </c>
      <c r="O826" s="90">
        <f>'Billing Det'!C24</f>
        <v>1404629847</v>
      </c>
      <c r="P826" s="90">
        <f>'Billing Det'!C26</f>
        <v>605890405</v>
      </c>
      <c r="Q826" s="90">
        <f>'Billing Det'!C28</f>
        <v>120148466.08000028</v>
      </c>
      <c r="R826" s="90">
        <f>'Billing Det'!C30</f>
        <v>4371371</v>
      </c>
      <c r="S826" s="90">
        <f>'Billing Det'!C32</f>
        <v>2392654</v>
      </c>
      <c r="T826" s="90">
        <f>'Billing Det'!C34</f>
        <v>326405</v>
      </c>
      <c r="U826" s="90">
        <f>'Billing Det'!C36</f>
        <v>10950</v>
      </c>
      <c r="V826" s="90">
        <f>'Billing Det'!C38</f>
        <v>0</v>
      </c>
      <c r="W826" s="90">
        <v>0</v>
      </c>
      <c r="X826" s="94">
        <f>SUM(G826:W826)</f>
        <v>17402124383.080002</v>
      </c>
      <c r="Y826" s="87" t="str">
        <f>IF(ABS(F826-X826)&lt;0.01,"ok","err")</f>
        <v>ok</v>
      </c>
      <c r="Z826" s="91" t="str">
        <f>IF(Y826="err",X826-F826,"")</f>
        <v/>
      </c>
    </row>
    <row r="827" spans="1:26" ht="12" customHeight="1" x14ac:dyDescent="0.5">
      <c r="A827" s="86" t="s">
        <v>1844</v>
      </c>
      <c r="D827" s="86" t="s">
        <v>104</v>
      </c>
      <c r="F827" s="105">
        <v>18429987350.630905</v>
      </c>
      <c r="G827" s="90">
        <f t="shared" ref="G827:M827" si="467">G826/0.93398</f>
        <v>6353308283.6941309</v>
      </c>
      <c r="H827" s="90">
        <f t="shared" ref="H827" si="468">H826/0.93398</f>
        <v>10446647.888986181</v>
      </c>
      <c r="I827" s="90">
        <f t="shared" si="467"/>
        <v>1796772838.8188183</v>
      </c>
      <c r="J827" s="90">
        <f t="shared" si="467"/>
        <v>137635708.47341484</v>
      </c>
      <c r="K827" s="90">
        <f t="shared" si="467"/>
        <v>1819303737.7674038</v>
      </c>
      <c r="L827" s="90">
        <f>L826/0.95745</f>
        <v>82219916.444722965</v>
      </c>
      <c r="M827" s="90">
        <f t="shared" si="467"/>
        <v>1910321874.1300669</v>
      </c>
      <c r="N827" s="90">
        <f>N826/0.95745</f>
        <v>4127545429.0041256</v>
      </c>
      <c r="O827" s="90">
        <f>O826/0.97779</f>
        <v>1436535295.9224372</v>
      </c>
      <c r="P827" s="90">
        <f>P826/0.97779</f>
        <v>619652895.81607497</v>
      </c>
      <c r="Q827" s="90">
        <f t="shared" ref="Q827:W827" si="469">Q826/0.93398</f>
        <v>128641369.2798564</v>
      </c>
      <c r="R827" s="90">
        <f t="shared" si="469"/>
        <v>4680368.9586500777</v>
      </c>
      <c r="S827" s="90">
        <f t="shared" si="469"/>
        <v>2561782.9075569068</v>
      </c>
      <c r="T827" s="90">
        <f t="shared" si="469"/>
        <v>349477.50487162464</v>
      </c>
      <c r="U827" s="90">
        <f t="shared" si="469"/>
        <v>11724.019786290926</v>
      </c>
      <c r="V827" s="90">
        <f t="shared" si="469"/>
        <v>0</v>
      </c>
      <c r="W827" s="90">
        <f t="shared" si="469"/>
        <v>0</v>
      </c>
      <c r="X827" s="94">
        <f>SUM(G827:W827)</f>
        <v>18429987350.630905</v>
      </c>
      <c r="Y827" s="87" t="str">
        <f>IF(ABS(F827-X827)&lt;0.01,"ok","err")</f>
        <v>ok</v>
      </c>
      <c r="Z827" s="91" t="str">
        <f>IF(Y827="err",X827-F827,"")</f>
        <v/>
      </c>
    </row>
    <row r="828" spans="1:26" ht="12" customHeight="1" x14ac:dyDescent="0.5">
      <c r="F828" s="90"/>
      <c r="G828" s="90"/>
      <c r="H828" s="90"/>
      <c r="I828" s="90"/>
      <c r="J828" s="90"/>
      <c r="K828" s="90"/>
      <c r="L828" s="90"/>
      <c r="M828" s="90"/>
      <c r="N828" s="90"/>
      <c r="O828" s="90"/>
      <c r="P828" s="90"/>
      <c r="Q828" s="90"/>
      <c r="R828" s="90"/>
      <c r="S828" s="90"/>
      <c r="T828" s="90"/>
      <c r="U828" s="90"/>
      <c r="V828" s="90"/>
      <c r="W828" s="105"/>
      <c r="Y828" s="87"/>
    </row>
    <row r="829" spans="1:26" ht="12" customHeight="1" x14ac:dyDescent="0.5">
      <c r="A829" s="288" t="s">
        <v>551</v>
      </c>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86" t="s">
        <v>491</v>
      </c>
      <c r="F830" s="220">
        <v>8471803.1013698634</v>
      </c>
      <c r="G830" s="90">
        <f>'Billing Det'!B8*12</f>
        <v>5300350.0191780822</v>
      </c>
      <c r="H830" s="90">
        <f>'Billing Det'!B10*12</f>
        <v>7755</v>
      </c>
      <c r="I830" s="90">
        <f>'Billing Det'!B12*12</f>
        <v>993412.76712328754</v>
      </c>
      <c r="J830" s="90">
        <f>'Billing Det'!B14*12</f>
        <v>5085.7315068493153</v>
      </c>
      <c r="K830" s="90">
        <f>'Billing Det'!B16*12</f>
        <v>53288.416438356158</v>
      </c>
      <c r="L830" s="90">
        <f>'Billing Det'!B18*12</f>
        <v>2445.3041095890412</v>
      </c>
      <c r="M830" s="90">
        <f>'Billing Det'!B20*12</f>
        <v>9195.4191780821911</v>
      </c>
      <c r="N830" s="90">
        <f>'Billing Det'!B22*12</f>
        <v>3066.4438356164383</v>
      </c>
      <c r="O830" s="90">
        <f>'Billing Det'!B24*12</f>
        <v>240</v>
      </c>
      <c r="P830" s="90">
        <f>'Billing Det'!B26*12</f>
        <v>12</v>
      </c>
      <c r="Q830" s="90">
        <f>'Billing Det'!B28*12</f>
        <v>2079516</v>
      </c>
      <c r="R830" s="90">
        <f>'Billing Det'!B30*12</f>
        <v>1296</v>
      </c>
      <c r="S830" s="90">
        <f>'Billing Det'!B32*12</f>
        <v>15972</v>
      </c>
      <c r="T830" s="90">
        <f>'Billing Det'!B34*12</f>
        <v>48</v>
      </c>
      <c r="U830" s="90">
        <f>'Billing Det'!B36*12</f>
        <v>120</v>
      </c>
      <c r="V830" s="90">
        <f>'Billing Det'!B38*12</f>
        <v>0</v>
      </c>
      <c r="W830" s="90">
        <f>'Billing Det'!B40*12</f>
        <v>0</v>
      </c>
      <c r="X830" s="94">
        <f t="shared" ref="X830:X839" si="470">SUM(G830:W830)</f>
        <v>8471803.1013698634</v>
      </c>
      <c r="Y830" s="87" t="str">
        <f t="shared" ref="Y830:Y839" si="471">IF(ABS(F830-X830)&lt;0.01,"ok","err")</f>
        <v>ok</v>
      </c>
      <c r="Z830" s="91" t="str">
        <f t="shared" ref="Z830:Z839" si="472">IF(Y830="err",X830-F830,"")</f>
        <v/>
      </c>
    </row>
    <row r="831" spans="1:26" ht="12" customHeight="1" x14ac:dyDescent="0.5">
      <c r="A831" s="86" t="s">
        <v>492</v>
      </c>
      <c r="F831" s="220">
        <v>705984</v>
      </c>
      <c r="G831" s="90">
        <f>ROUND(+G830/12,0)</f>
        <v>441696</v>
      </c>
      <c r="H831" s="90">
        <f>ROUND(+H830/12,0)</f>
        <v>646</v>
      </c>
      <c r="I831" s="90">
        <f t="shared" ref="I831:V831" si="473">ROUND(+I830/12,0)</f>
        <v>82784</v>
      </c>
      <c r="J831" s="90">
        <f>ROUND(+J830/12,0)</f>
        <v>424</v>
      </c>
      <c r="K831" s="90">
        <f t="shared" si="473"/>
        <v>4441</v>
      </c>
      <c r="L831" s="90">
        <f>ROUND(+L830/12,0)</f>
        <v>204</v>
      </c>
      <c r="M831" s="90">
        <f t="shared" si="473"/>
        <v>766</v>
      </c>
      <c r="N831" s="90">
        <f t="shared" si="473"/>
        <v>256</v>
      </c>
      <c r="O831" s="90">
        <f t="shared" si="473"/>
        <v>20</v>
      </c>
      <c r="P831" s="90">
        <f t="shared" si="473"/>
        <v>1</v>
      </c>
      <c r="Q831" s="90">
        <f t="shared" si="473"/>
        <v>173293</v>
      </c>
      <c r="R831" s="90">
        <f t="shared" si="473"/>
        <v>108</v>
      </c>
      <c r="S831" s="90">
        <f t="shared" si="473"/>
        <v>1331</v>
      </c>
      <c r="T831" s="90">
        <f t="shared" si="473"/>
        <v>4</v>
      </c>
      <c r="U831" s="90">
        <f t="shared" si="473"/>
        <v>10</v>
      </c>
      <c r="V831" s="90">
        <f t="shared" si="473"/>
        <v>0</v>
      </c>
      <c r="W831" s="90">
        <v>0</v>
      </c>
      <c r="X831" s="94">
        <f t="shared" si="470"/>
        <v>705984</v>
      </c>
      <c r="Y831" s="87" t="str">
        <f t="shared" si="471"/>
        <v>ok</v>
      </c>
      <c r="Z831" s="91" t="str">
        <f t="shared" si="472"/>
        <v/>
      </c>
    </row>
    <row r="832" spans="1:26" ht="12" customHeight="1" x14ac:dyDescent="0.5">
      <c r="A832" s="86" t="s">
        <v>493</v>
      </c>
      <c r="F832" s="90">
        <v>705984</v>
      </c>
      <c r="G832" s="90">
        <f t="shared" ref="G832:V832" si="474">G831</f>
        <v>441696</v>
      </c>
      <c r="H832" s="90">
        <f t="shared" ref="H832" si="475">H831</f>
        <v>646</v>
      </c>
      <c r="I832" s="90">
        <f t="shared" si="474"/>
        <v>82784</v>
      </c>
      <c r="J832" s="90">
        <f>J831</f>
        <v>424</v>
      </c>
      <c r="K832" s="90">
        <f>K831</f>
        <v>4441</v>
      </c>
      <c r="L832" s="90">
        <f>L831</f>
        <v>204</v>
      </c>
      <c r="M832" s="90">
        <f t="shared" si="474"/>
        <v>766</v>
      </c>
      <c r="N832" s="90">
        <f t="shared" si="474"/>
        <v>256</v>
      </c>
      <c r="O832" s="90">
        <f t="shared" si="474"/>
        <v>20</v>
      </c>
      <c r="P832" s="90">
        <f t="shared" si="474"/>
        <v>1</v>
      </c>
      <c r="Q832" s="90">
        <f>Q831</f>
        <v>173293</v>
      </c>
      <c r="R832" s="90">
        <f t="shared" si="474"/>
        <v>108</v>
      </c>
      <c r="S832" s="90">
        <f t="shared" si="474"/>
        <v>1331</v>
      </c>
      <c r="T832" s="90">
        <f t="shared" si="474"/>
        <v>4</v>
      </c>
      <c r="U832" s="90">
        <f t="shared" si="474"/>
        <v>10</v>
      </c>
      <c r="V832" s="90">
        <f t="shared" si="474"/>
        <v>0</v>
      </c>
      <c r="W832" s="90">
        <v>0</v>
      </c>
      <c r="X832" s="94">
        <f t="shared" si="470"/>
        <v>705984</v>
      </c>
      <c r="Y832" s="87" t="str">
        <f t="shared" si="471"/>
        <v>ok</v>
      </c>
      <c r="Z832" s="91" t="str">
        <f t="shared" si="472"/>
        <v/>
      </c>
    </row>
    <row r="833" spans="1:26" ht="12" customHeight="1" x14ac:dyDescent="0.5">
      <c r="A833" s="86" t="s">
        <v>763</v>
      </c>
      <c r="D833" s="86" t="s">
        <v>851</v>
      </c>
      <c r="F833" s="90">
        <v>680930</v>
      </c>
      <c r="G833" s="90">
        <f>ROUND(G832,0)</f>
        <v>441696</v>
      </c>
      <c r="H833" s="90">
        <f>ROUND(H832,0)</f>
        <v>646</v>
      </c>
      <c r="I833" s="90">
        <f>ROUND(I832*2,0)</f>
        <v>165568</v>
      </c>
      <c r="J833" s="90">
        <f>ROUND(J832*10,0)</f>
        <v>4240</v>
      </c>
      <c r="K833" s="90">
        <f>ROUND(K832*5,0)</f>
        <v>22205</v>
      </c>
      <c r="L833" s="90">
        <f>ROUND(L832*5,0)</f>
        <v>1020</v>
      </c>
      <c r="M833" s="90">
        <f>ROUND(M832*25,0)</f>
        <v>19150</v>
      </c>
      <c r="N833" s="90">
        <f>ROUND(N832*25,0)</f>
        <v>6400</v>
      </c>
      <c r="O833" s="90">
        <f>ROUND(O832*25,0)</f>
        <v>500</v>
      </c>
      <c r="P833" s="90">
        <f>ROUND(P832*50,0)</f>
        <v>50</v>
      </c>
      <c r="Q833" s="90">
        <f>ROUND(Q832*1/9,0)</f>
        <v>19255</v>
      </c>
      <c r="R833" s="90">
        <f>ROUND(R832*1/9,0)</f>
        <v>12</v>
      </c>
      <c r="S833" s="90">
        <f>ROUND(S832*1/9,0)</f>
        <v>148</v>
      </c>
      <c r="T833" s="90">
        <f>ROUND(T832*5,0)</f>
        <v>20</v>
      </c>
      <c r="U833" s="90">
        <f>ROUND(U832*2,0)</f>
        <v>20</v>
      </c>
      <c r="V833" s="90">
        <f>ROUND(V832,0)</f>
        <v>0</v>
      </c>
      <c r="W833" s="90">
        <v>0</v>
      </c>
      <c r="X833" s="94">
        <f t="shared" si="470"/>
        <v>680930</v>
      </c>
      <c r="Y833" s="87" t="str">
        <f t="shared" si="471"/>
        <v>ok</v>
      </c>
      <c r="Z833" s="91" t="str">
        <f t="shared" si="472"/>
        <v/>
      </c>
    </row>
    <row r="834" spans="1:26" ht="12" customHeight="1" x14ac:dyDescent="0.5">
      <c r="A834" s="86" t="s">
        <v>385</v>
      </c>
      <c r="D834" s="86" t="s">
        <v>496</v>
      </c>
      <c r="F834" s="90">
        <v>143087299.06384519</v>
      </c>
      <c r="G834" s="94">
        <v>0</v>
      </c>
      <c r="H834" s="94">
        <v>0</v>
      </c>
      <c r="I834" s="94">
        <v>0</v>
      </c>
      <c r="J834" s="94">
        <v>0</v>
      </c>
      <c r="K834" s="94">
        <v>0</v>
      </c>
      <c r="L834" s="94">
        <v>0</v>
      </c>
      <c r="M834" s="94">
        <v>0</v>
      </c>
      <c r="N834" s="94">
        <v>0</v>
      </c>
      <c r="O834" s="90">
        <v>0</v>
      </c>
      <c r="P834" s="94">
        <v>0</v>
      </c>
      <c r="Q834" s="94">
        <f>F834</f>
        <v>143087299.06384519</v>
      </c>
      <c r="R834" s="94">
        <v>0</v>
      </c>
      <c r="S834" s="94">
        <v>0</v>
      </c>
      <c r="T834" s="94">
        <v>0</v>
      </c>
      <c r="U834" s="94">
        <v>0</v>
      </c>
      <c r="V834" s="94"/>
      <c r="W834" s="90">
        <v>0</v>
      </c>
      <c r="X834" s="94">
        <f t="shared" si="470"/>
        <v>143087299.06384519</v>
      </c>
      <c r="Y834" s="87" t="str">
        <f t="shared" si="471"/>
        <v>ok</v>
      </c>
      <c r="Z834" s="91" t="str">
        <f t="shared" si="472"/>
        <v/>
      </c>
    </row>
    <row r="835" spans="1:26" ht="12" customHeight="1" x14ac:dyDescent="0.5">
      <c r="A835" s="86" t="s">
        <v>850</v>
      </c>
      <c r="D835" s="86" t="s">
        <v>495</v>
      </c>
      <c r="F835" s="90">
        <v>705984</v>
      </c>
      <c r="G835" s="90">
        <f>G832</f>
        <v>441696</v>
      </c>
      <c r="H835" s="90">
        <f>H832</f>
        <v>646</v>
      </c>
      <c r="I835" s="90">
        <f t="shared" ref="I835:V835" si="476">I832</f>
        <v>82784</v>
      </c>
      <c r="J835" s="90">
        <f>J832</f>
        <v>424</v>
      </c>
      <c r="K835" s="90">
        <f>K832</f>
        <v>4441</v>
      </c>
      <c r="L835" s="90">
        <f>L832</f>
        <v>204</v>
      </c>
      <c r="M835" s="90">
        <f t="shared" si="476"/>
        <v>766</v>
      </c>
      <c r="N835" s="90">
        <f t="shared" si="476"/>
        <v>256</v>
      </c>
      <c r="O835" s="90">
        <f t="shared" si="476"/>
        <v>20</v>
      </c>
      <c r="P835" s="90">
        <f>P832</f>
        <v>1</v>
      </c>
      <c r="Q835" s="90">
        <f>Q832</f>
        <v>173293</v>
      </c>
      <c r="R835" s="90">
        <f t="shared" si="476"/>
        <v>108</v>
      </c>
      <c r="S835" s="90">
        <f t="shared" si="476"/>
        <v>1331</v>
      </c>
      <c r="T835" s="90">
        <f t="shared" si="476"/>
        <v>4</v>
      </c>
      <c r="U835" s="90">
        <f t="shared" si="476"/>
        <v>10</v>
      </c>
      <c r="V835" s="90">
        <f t="shared" si="476"/>
        <v>0</v>
      </c>
      <c r="W835" s="90">
        <v>0</v>
      </c>
      <c r="X835" s="94">
        <f t="shared" si="470"/>
        <v>705984</v>
      </c>
      <c r="Y835" s="87" t="str">
        <f t="shared" si="471"/>
        <v>ok</v>
      </c>
      <c r="Z835" s="91" t="str">
        <f t="shared" si="472"/>
        <v/>
      </c>
    </row>
    <row r="836" spans="1:26" ht="12" customHeight="1" x14ac:dyDescent="0.5">
      <c r="A836" s="86" t="s">
        <v>764</v>
      </c>
      <c r="D836" s="86" t="s">
        <v>852</v>
      </c>
      <c r="F836" s="90">
        <v>550667</v>
      </c>
      <c r="G836" s="90">
        <f t="shared" ref="G836:V836" si="477">G832</f>
        <v>441696</v>
      </c>
      <c r="H836" s="90">
        <f t="shared" ref="H836" si="478">H832</f>
        <v>646</v>
      </c>
      <c r="I836" s="90">
        <f t="shared" si="477"/>
        <v>82784</v>
      </c>
      <c r="J836" s="90">
        <f>J832</f>
        <v>424</v>
      </c>
      <c r="K836" s="90">
        <f t="shared" si="477"/>
        <v>4441</v>
      </c>
      <c r="L836" s="90">
        <f>L832</f>
        <v>204</v>
      </c>
      <c r="M836" s="90">
        <f t="shared" si="477"/>
        <v>766</v>
      </c>
      <c r="N836" s="90">
        <f t="shared" si="477"/>
        <v>256</v>
      </c>
      <c r="O836" s="90">
        <f t="shared" si="477"/>
        <v>20</v>
      </c>
      <c r="P836" s="90">
        <f t="shared" si="477"/>
        <v>1</v>
      </c>
      <c r="Q836" s="90">
        <f>ROUND(Q832/9,0)</f>
        <v>19255</v>
      </c>
      <c r="R836" s="90">
        <f>ROUND(R832/9,0)</f>
        <v>12</v>
      </c>
      <c r="S836" s="90">
        <f>ROUND(S832/9,0)</f>
        <v>148</v>
      </c>
      <c r="T836" s="90">
        <f t="shared" si="477"/>
        <v>4</v>
      </c>
      <c r="U836" s="90">
        <f t="shared" si="477"/>
        <v>10</v>
      </c>
      <c r="V836" s="90">
        <f t="shared" si="477"/>
        <v>0</v>
      </c>
      <c r="W836" s="90">
        <v>0</v>
      </c>
      <c r="X836" s="94">
        <f t="shared" si="470"/>
        <v>550667</v>
      </c>
      <c r="Y836" s="87" t="str">
        <f t="shared" si="471"/>
        <v>ok</v>
      </c>
      <c r="Z836" s="91" t="str">
        <f t="shared" si="472"/>
        <v/>
      </c>
    </row>
    <row r="837" spans="1:26" ht="12" customHeight="1" x14ac:dyDescent="0.5">
      <c r="A837" s="86" t="s">
        <v>765</v>
      </c>
      <c r="D837" s="86" t="s">
        <v>904</v>
      </c>
      <c r="F837" s="90">
        <v>550186</v>
      </c>
      <c r="G837" s="90">
        <f>G836</f>
        <v>441696</v>
      </c>
      <c r="H837" s="90">
        <f>H836</f>
        <v>646</v>
      </c>
      <c r="I837" s="90">
        <f>I836</f>
        <v>82784</v>
      </c>
      <c r="J837" s="90">
        <f>J836</f>
        <v>424</v>
      </c>
      <c r="K837" s="90">
        <f>K836</f>
        <v>4441</v>
      </c>
      <c r="L837" s="90">
        <v>0</v>
      </c>
      <c r="M837" s="90">
        <f>M836</f>
        <v>766</v>
      </c>
      <c r="N837" s="90">
        <v>0</v>
      </c>
      <c r="O837" s="90">
        <v>0</v>
      </c>
      <c r="P837" s="90">
        <v>0</v>
      </c>
      <c r="Q837" s="90">
        <f t="shared" ref="Q837:V837" si="479">Q836</f>
        <v>19255</v>
      </c>
      <c r="R837" s="90">
        <f t="shared" si="479"/>
        <v>12</v>
      </c>
      <c r="S837" s="90">
        <f t="shared" si="479"/>
        <v>148</v>
      </c>
      <c r="T837" s="90">
        <f t="shared" si="479"/>
        <v>4</v>
      </c>
      <c r="U837" s="90">
        <f t="shared" si="479"/>
        <v>10</v>
      </c>
      <c r="V837" s="90">
        <f t="shared" si="479"/>
        <v>0</v>
      </c>
      <c r="W837" s="90">
        <v>0</v>
      </c>
      <c r="X837" s="94">
        <f t="shared" si="470"/>
        <v>550186</v>
      </c>
      <c r="Y837" s="87" t="str">
        <f t="shared" si="471"/>
        <v>ok</v>
      </c>
      <c r="Z837" s="91" t="str">
        <f t="shared" si="472"/>
        <v/>
      </c>
    </row>
    <row r="838" spans="1:26" ht="12" customHeight="1" x14ac:dyDescent="0.5">
      <c r="A838" s="86" t="s">
        <v>766</v>
      </c>
      <c r="D838" s="86" t="s">
        <v>905</v>
      </c>
      <c r="F838" s="90">
        <v>550646</v>
      </c>
      <c r="G838" s="90">
        <f>G836</f>
        <v>441696</v>
      </c>
      <c r="H838" s="90">
        <f>H836</f>
        <v>646</v>
      </c>
      <c r="I838" s="90">
        <f t="shared" ref="I838:N838" si="480">I836</f>
        <v>82784</v>
      </c>
      <c r="J838" s="90">
        <f t="shared" si="480"/>
        <v>424</v>
      </c>
      <c r="K838" s="90">
        <f t="shared" si="480"/>
        <v>4441</v>
      </c>
      <c r="L838" s="90">
        <f t="shared" si="480"/>
        <v>204</v>
      </c>
      <c r="M838" s="90">
        <f t="shared" si="480"/>
        <v>766</v>
      </c>
      <c r="N838" s="90">
        <f t="shared" si="480"/>
        <v>256</v>
      </c>
      <c r="O838" s="90">
        <v>0</v>
      </c>
      <c r="P838" s="90">
        <v>0</v>
      </c>
      <c r="Q838" s="90">
        <f t="shared" ref="Q838:V838" si="481">Q836</f>
        <v>19255</v>
      </c>
      <c r="R838" s="90">
        <f t="shared" si="481"/>
        <v>12</v>
      </c>
      <c r="S838" s="90">
        <f t="shared" si="481"/>
        <v>148</v>
      </c>
      <c r="T838" s="90">
        <f t="shared" si="481"/>
        <v>4</v>
      </c>
      <c r="U838" s="90">
        <f t="shared" si="481"/>
        <v>10</v>
      </c>
      <c r="V838" s="90">
        <f t="shared" si="481"/>
        <v>0</v>
      </c>
      <c r="W838" s="90">
        <v>0</v>
      </c>
      <c r="X838" s="94">
        <f t="shared" si="470"/>
        <v>550646</v>
      </c>
      <c r="Y838" s="87" t="str">
        <f t="shared" si="471"/>
        <v>ok</v>
      </c>
      <c r="Z838" s="91" t="str">
        <f t="shared" si="472"/>
        <v/>
      </c>
    </row>
    <row r="839" spans="1:26" ht="12" customHeight="1" x14ac:dyDescent="0.5">
      <c r="A839" s="86" t="s">
        <v>2176</v>
      </c>
      <c r="D839" s="86" t="s">
        <v>2177</v>
      </c>
      <c r="F839" s="90">
        <v>550186</v>
      </c>
      <c r="G839" s="90">
        <f>G837</f>
        <v>441696</v>
      </c>
      <c r="H839" s="90">
        <f>H837</f>
        <v>646</v>
      </c>
      <c r="I839" s="90">
        <f t="shared" ref="I839:V839" si="482">I837</f>
        <v>82784</v>
      </c>
      <c r="J839" s="90">
        <f t="shared" si="482"/>
        <v>424</v>
      </c>
      <c r="K839" s="90">
        <f t="shared" si="482"/>
        <v>4441</v>
      </c>
      <c r="L839" s="90">
        <f t="shared" si="482"/>
        <v>0</v>
      </c>
      <c r="M839" s="90">
        <f t="shared" si="482"/>
        <v>766</v>
      </c>
      <c r="N839" s="90">
        <f t="shared" si="482"/>
        <v>0</v>
      </c>
      <c r="O839" s="90">
        <f t="shared" si="482"/>
        <v>0</v>
      </c>
      <c r="P839" s="90">
        <f t="shared" si="482"/>
        <v>0</v>
      </c>
      <c r="Q839" s="90">
        <f t="shared" si="482"/>
        <v>19255</v>
      </c>
      <c r="R839" s="90">
        <f t="shared" si="482"/>
        <v>12</v>
      </c>
      <c r="S839" s="90">
        <f t="shared" si="482"/>
        <v>148</v>
      </c>
      <c r="T839" s="90">
        <f t="shared" si="482"/>
        <v>4</v>
      </c>
      <c r="U839" s="90">
        <f t="shared" si="482"/>
        <v>10</v>
      </c>
      <c r="V839" s="90">
        <f t="shared" si="482"/>
        <v>0</v>
      </c>
      <c r="W839" s="90">
        <v>0</v>
      </c>
      <c r="X839" s="94">
        <f t="shared" si="470"/>
        <v>550186</v>
      </c>
      <c r="Y839" s="87" t="str">
        <f t="shared" si="471"/>
        <v>ok</v>
      </c>
      <c r="Z839" s="91" t="str">
        <f t="shared" si="472"/>
        <v/>
      </c>
    </row>
    <row r="840" spans="1:26" ht="12" customHeight="1" x14ac:dyDescent="0.5">
      <c r="F840" s="221"/>
      <c r="G840" s="221"/>
      <c r="H840" s="221"/>
      <c r="I840" s="221"/>
      <c r="J840" s="221"/>
      <c r="K840" s="221"/>
      <c r="L840" s="221"/>
      <c r="M840" s="221"/>
      <c r="N840" s="221"/>
      <c r="O840" s="221"/>
      <c r="P840" s="221"/>
      <c r="Q840" s="221"/>
      <c r="R840" s="221"/>
      <c r="S840" s="221"/>
      <c r="T840" s="221"/>
      <c r="U840" s="221"/>
      <c r="V840" s="221"/>
      <c r="W840" s="221"/>
      <c r="Y840" s="222"/>
      <c r="Z840" s="98"/>
    </row>
    <row r="841" spans="1:26" ht="12" customHeight="1" x14ac:dyDescent="0.5">
      <c r="A841" s="288" t="s">
        <v>552</v>
      </c>
      <c r="F841" s="90"/>
      <c r="G841" s="90"/>
      <c r="H841" s="90"/>
      <c r="I841" s="90"/>
      <c r="J841" s="90"/>
      <c r="K841" s="90"/>
      <c r="L841" s="90"/>
      <c r="M841" s="90"/>
      <c r="N841" s="90"/>
      <c r="O841" s="90"/>
      <c r="P841" s="90"/>
      <c r="Q841" s="90"/>
      <c r="R841" s="221"/>
      <c r="S841" s="221"/>
      <c r="T841" s="221"/>
      <c r="U841" s="221"/>
      <c r="V841" s="90"/>
      <c r="W841" s="105"/>
      <c r="Y841" s="87"/>
    </row>
    <row r="842" spans="1:26" ht="12" customHeight="1" x14ac:dyDescent="0.5">
      <c r="A842" s="86" t="s">
        <v>2454</v>
      </c>
      <c r="F842" s="220">
        <v>705870.61038461537</v>
      </c>
      <c r="G842" s="220">
        <f>442137+130+3-H842</f>
        <v>434515</v>
      </c>
      <c r="H842" s="220">
        <f>H830</f>
        <v>7755</v>
      </c>
      <c r="I842" s="220">
        <v>82742.610384615371</v>
      </c>
      <c r="J842" s="220">
        <f>187+237</f>
        <v>424</v>
      </c>
      <c r="K842" s="220">
        <f>4442</f>
        <v>4442</v>
      </c>
      <c r="L842" s="220">
        <f>204</f>
        <v>204</v>
      </c>
      <c r="M842" s="220">
        <f>765</f>
        <v>765</v>
      </c>
      <c r="N842" s="220">
        <f>256</f>
        <v>256</v>
      </c>
      <c r="O842" s="220">
        <f>20</f>
        <v>20</v>
      </c>
      <c r="P842" s="220">
        <f>1</f>
        <v>1</v>
      </c>
      <c r="Q842" s="220">
        <f>Q831</f>
        <v>173293</v>
      </c>
      <c r="R842" s="220">
        <f>108</f>
        <v>108</v>
      </c>
      <c r="S842" s="220">
        <f>1331</f>
        <v>1331</v>
      </c>
      <c r="T842" s="220">
        <v>4</v>
      </c>
      <c r="U842" s="463">
        <f>10</f>
        <v>10</v>
      </c>
      <c r="V842" s="220">
        <f>V831</f>
        <v>0</v>
      </c>
      <c r="W842" s="90">
        <v>0</v>
      </c>
      <c r="X842" s="94">
        <f t="shared" ref="X842:X850" si="483">SUM(G842:W842)</f>
        <v>705870.61038461537</v>
      </c>
      <c r="Y842" s="87" t="str">
        <f t="shared" ref="Y842:Y850" si="484">IF(ABS(F842-X842)&lt;0.01,"ok","err")</f>
        <v>ok</v>
      </c>
      <c r="Z842" s="91" t="str">
        <f t="shared" ref="Z842:Z850" si="485">IF(Y842="err",X842-F842,"")</f>
        <v/>
      </c>
    </row>
    <row r="843" spans="1:26" ht="12" customHeight="1" x14ac:dyDescent="0.5">
      <c r="A843" s="86" t="s">
        <v>493</v>
      </c>
      <c r="F843" s="220">
        <v>705870.61038461537</v>
      </c>
      <c r="G843" s="220">
        <f>G842</f>
        <v>434515</v>
      </c>
      <c r="H843" s="220">
        <f>H842</f>
        <v>7755</v>
      </c>
      <c r="I843" s="220">
        <f>I842</f>
        <v>82742.610384615371</v>
      </c>
      <c r="J843" s="220">
        <f>J842</f>
        <v>424</v>
      </c>
      <c r="K843" s="220">
        <f t="shared" ref="K843:V843" si="486">K842</f>
        <v>4442</v>
      </c>
      <c r="L843" s="220">
        <f t="shared" si="486"/>
        <v>204</v>
      </c>
      <c r="M843" s="220">
        <f t="shared" si="486"/>
        <v>765</v>
      </c>
      <c r="N843" s="220">
        <f t="shared" si="486"/>
        <v>256</v>
      </c>
      <c r="O843" s="220">
        <f t="shared" si="486"/>
        <v>20</v>
      </c>
      <c r="P843" s="220">
        <f t="shared" si="486"/>
        <v>1</v>
      </c>
      <c r="Q843" s="220">
        <f t="shared" si="486"/>
        <v>173293</v>
      </c>
      <c r="R843" s="220">
        <f t="shared" si="486"/>
        <v>108</v>
      </c>
      <c r="S843" s="220">
        <f t="shared" si="486"/>
        <v>1331</v>
      </c>
      <c r="T843" s="220">
        <f t="shared" si="486"/>
        <v>4</v>
      </c>
      <c r="U843" s="463">
        <f t="shared" si="486"/>
        <v>10</v>
      </c>
      <c r="V843" s="220">
        <f t="shared" si="486"/>
        <v>0</v>
      </c>
      <c r="W843" s="90">
        <v>0</v>
      </c>
      <c r="X843" s="94">
        <f t="shared" si="483"/>
        <v>705870.61038461537</v>
      </c>
      <c r="Y843" s="87" t="str">
        <f t="shared" si="484"/>
        <v>ok</v>
      </c>
      <c r="Z843" s="91" t="str">
        <f t="shared" si="485"/>
        <v/>
      </c>
    </row>
    <row r="844" spans="1:26" ht="12" customHeight="1" x14ac:dyDescent="0.5">
      <c r="A844" s="86" t="s">
        <v>763</v>
      </c>
      <c r="D844" s="86" t="s">
        <v>2447</v>
      </c>
      <c r="F844" s="220">
        <v>680755</v>
      </c>
      <c r="G844" s="90">
        <f>ROUND(G843,0)</f>
        <v>434515</v>
      </c>
      <c r="H844" s="90">
        <f>ROUND(H843,0)</f>
        <v>7755</v>
      </c>
      <c r="I844" s="90">
        <f>ROUND(I843*2,0)</f>
        <v>165485</v>
      </c>
      <c r="J844" s="90">
        <f>ROUND(J843*10,0)</f>
        <v>4240</v>
      </c>
      <c r="K844" s="90">
        <f>ROUND(K843*5,0)</f>
        <v>22210</v>
      </c>
      <c r="L844" s="90">
        <f>ROUND(L843*5,0)</f>
        <v>1020</v>
      </c>
      <c r="M844" s="90">
        <f>ROUND(M843*25,0)</f>
        <v>19125</v>
      </c>
      <c r="N844" s="90">
        <f>ROUND(N843*25,0)</f>
        <v>6400</v>
      </c>
      <c r="O844" s="90">
        <f>ROUND(O843*25,0)</f>
        <v>500</v>
      </c>
      <c r="P844" s="90">
        <f>ROUND(P843*50,0)</f>
        <v>50</v>
      </c>
      <c r="Q844" s="90">
        <f>ROUND(Q843*1/9,0)</f>
        <v>19255</v>
      </c>
      <c r="R844" s="90">
        <f>ROUND(R843*1/9,0)</f>
        <v>12</v>
      </c>
      <c r="S844" s="90">
        <f>ROUND(S843*1/9,0)</f>
        <v>148</v>
      </c>
      <c r="T844" s="90">
        <f>ROUND(T843*5,0)</f>
        <v>20</v>
      </c>
      <c r="U844" s="464">
        <f>ROUND(U843*2,0)</f>
        <v>20</v>
      </c>
      <c r="V844" s="90">
        <f>ROUND(V843*2,0)</f>
        <v>0</v>
      </c>
      <c r="W844" s="90">
        <v>0</v>
      </c>
      <c r="X844" s="94">
        <f t="shared" si="483"/>
        <v>680755</v>
      </c>
      <c r="Y844" s="87" t="str">
        <f t="shared" si="484"/>
        <v>ok</v>
      </c>
      <c r="Z844" s="91" t="str">
        <f t="shared" si="485"/>
        <v/>
      </c>
    </row>
    <row r="845" spans="1:26" ht="12" customHeight="1" x14ac:dyDescent="0.5">
      <c r="A845" s="86" t="s">
        <v>385</v>
      </c>
      <c r="D845" s="86" t="s">
        <v>2448</v>
      </c>
      <c r="F845" s="220">
        <v>143087299.06384519</v>
      </c>
      <c r="G845" s="220">
        <v>0</v>
      </c>
      <c r="H845" s="220">
        <v>0</v>
      </c>
      <c r="I845" s="220">
        <v>0</v>
      </c>
      <c r="J845" s="220">
        <v>0</v>
      </c>
      <c r="K845" s="220">
        <v>0</v>
      </c>
      <c r="L845" s="220">
        <v>0</v>
      </c>
      <c r="M845" s="220">
        <v>0</v>
      </c>
      <c r="N845" s="220">
        <v>0</v>
      </c>
      <c r="O845" s="220">
        <v>0</v>
      </c>
      <c r="P845" s="220">
        <v>0</v>
      </c>
      <c r="Q845" s="220">
        <f>Q834</f>
        <v>143087299.06384519</v>
      </c>
      <c r="R845" s="220">
        <v>0</v>
      </c>
      <c r="S845" s="220">
        <v>0</v>
      </c>
      <c r="T845" s="220">
        <v>0</v>
      </c>
      <c r="U845" s="463">
        <v>0</v>
      </c>
      <c r="V845" s="220">
        <v>0</v>
      </c>
      <c r="W845" s="90">
        <v>0</v>
      </c>
      <c r="X845" s="94">
        <f t="shared" si="483"/>
        <v>143087299.06384519</v>
      </c>
      <c r="Y845" s="87" t="str">
        <f t="shared" si="484"/>
        <v>ok</v>
      </c>
      <c r="Z845" s="91" t="str">
        <f t="shared" si="485"/>
        <v/>
      </c>
    </row>
    <row r="846" spans="1:26" ht="12" customHeight="1" x14ac:dyDescent="0.5">
      <c r="A846" s="86" t="s">
        <v>850</v>
      </c>
      <c r="D846" s="86" t="s">
        <v>2449</v>
      </c>
      <c r="F846" s="220">
        <v>705870.61038461537</v>
      </c>
      <c r="G846" s="220">
        <f>G842</f>
        <v>434515</v>
      </c>
      <c r="H846" s="220">
        <f>H842</f>
        <v>7755</v>
      </c>
      <c r="I846" s="220">
        <f>I842</f>
        <v>82742.610384615371</v>
      </c>
      <c r="J846" s="220">
        <f>J835</f>
        <v>424</v>
      </c>
      <c r="K846" s="220">
        <f t="shared" ref="K846:U846" si="487">K842</f>
        <v>4442</v>
      </c>
      <c r="L846" s="220">
        <f t="shared" si="487"/>
        <v>204</v>
      </c>
      <c r="M846" s="220">
        <f t="shared" si="487"/>
        <v>765</v>
      </c>
      <c r="N846" s="220">
        <f t="shared" si="487"/>
        <v>256</v>
      </c>
      <c r="O846" s="220">
        <f t="shared" si="487"/>
        <v>20</v>
      </c>
      <c r="P846" s="220">
        <f t="shared" si="487"/>
        <v>1</v>
      </c>
      <c r="Q846" s="220">
        <f t="shared" si="487"/>
        <v>173293</v>
      </c>
      <c r="R846" s="220">
        <f t="shared" si="487"/>
        <v>108</v>
      </c>
      <c r="S846" s="220">
        <f t="shared" si="487"/>
        <v>1331</v>
      </c>
      <c r="T846" s="220">
        <f t="shared" si="487"/>
        <v>4</v>
      </c>
      <c r="U846" s="463">
        <f t="shared" si="487"/>
        <v>10</v>
      </c>
      <c r="V846" s="220">
        <f>V835</f>
        <v>0</v>
      </c>
      <c r="W846" s="90">
        <v>0</v>
      </c>
      <c r="X846" s="94">
        <f t="shared" si="483"/>
        <v>705870.61038461537</v>
      </c>
      <c r="Y846" s="87" t="str">
        <f t="shared" si="484"/>
        <v>ok</v>
      </c>
      <c r="Z846" s="91" t="str">
        <f t="shared" si="485"/>
        <v/>
      </c>
    </row>
    <row r="847" spans="1:26" ht="12" customHeight="1" x14ac:dyDescent="0.5">
      <c r="A847" s="86" t="s">
        <v>764</v>
      </c>
      <c r="D847" s="86" t="s">
        <v>2450</v>
      </c>
      <c r="F847" s="220">
        <v>550553.38816239312</v>
      </c>
      <c r="G847" s="220">
        <f>G842</f>
        <v>434515</v>
      </c>
      <c r="H847" s="220">
        <f>H842</f>
        <v>7755</v>
      </c>
      <c r="I847" s="220">
        <f>I842</f>
        <v>82742.610384615371</v>
      </c>
      <c r="J847" s="220">
        <f>J836</f>
        <v>424</v>
      </c>
      <c r="K847" s="220">
        <f t="shared" ref="K847:P847" si="488">K842</f>
        <v>4442</v>
      </c>
      <c r="L847" s="220">
        <f t="shared" si="488"/>
        <v>204</v>
      </c>
      <c r="M847" s="220">
        <f t="shared" si="488"/>
        <v>765</v>
      </c>
      <c r="N847" s="220">
        <f t="shared" si="488"/>
        <v>256</v>
      </c>
      <c r="O847" s="220">
        <f t="shared" si="488"/>
        <v>20</v>
      </c>
      <c r="P847" s="220">
        <f t="shared" si="488"/>
        <v>1</v>
      </c>
      <c r="Q847" s="220">
        <f>Q846/9</f>
        <v>19254.777777777777</v>
      </c>
      <c r="R847" s="220">
        <f>R844</f>
        <v>12</v>
      </c>
      <c r="S847" s="220">
        <f>S844</f>
        <v>148</v>
      </c>
      <c r="T847" s="220">
        <f>T842</f>
        <v>4</v>
      </c>
      <c r="U847" s="463">
        <f>U842</f>
        <v>10</v>
      </c>
      <c r="V847" s="220">
        <f>V836</f>
        <v>0</v>
      </c>
      <c r="W847" s="90">
        <v>0</v>
      </c>
      <c r="X847" s="94">
        <f t="shared" si="483"/>
        <v>550553.38816239312</v>
      </c>
      <c r="Y847" s="87" t="str">
        <f t="shared" si="484"/>
        <v>ok</v>
      </c>
      <c r="Z847" s="91" t="str">
        <f t="shared" si="485"/>
        <v/>
      </c>
    </row>
    <row r="848" spans="1:26" ht="12" customHeight="1" x14ac:dyDescent="0.5">
      <c r="A848" s="86" t="s">
        <v>765</v>
      </c>
      <c r="D848" s="86" t="s">
        <v>2451</v>
      </c>
      <c r="F848" s="220">
        <v>544871.38816239312</v>
      </c>
      <c r="G848" s="220">
        <f>G842</f>
        <v>434515</v>
      </c>
      <c r="H848" s="220">
        <f>H842</f>
        <v>7755</v>
      </c>
      <c r="I848" s="220">
        <f>I842</f>
        <v>82742.610384615371</v>
      </c>
      <c r="J848" s="220">
        <f>J837</f>
        <v>424</v>
      </c>
      <c r="K848" s="220">
        <v>0</v>
      </c>
      <c r="L848" s="220">
        <v>0</v>
      </c>
      <c r="M848" s="220">
        <v>0</v>
      </c>
      <c r="N848" s="220">
        <v>0</v>
      </c>
      <c r="O848" s="220">
        <v>0</v>
      </c>
      <c r="P848" s="220">
        <v>0</v>
      </c>
      <c r="Q848" s="220">
        <f>Q847</f>
        <v>19254.777777777777</v>
      </c>
      <c r="R848" s="220">
        <f>R844</f>
        <v>12</v>
      </c>
      <c r="S848" s="220">
        <f>S844</f>
        <v>148</v>
      </c>
      <c r="T848" s="220">
        <v>0</v>
      </c>
      <c r="U848" s="463">
        <f>U844</f>
        <v>20</v>
      </c>
      <c r="V848" s="220">
        <f>V837</f>
        <v>0</v>
      </c>
      <c r="W848" s="90">
        <v>0</v>
      </c>
      <c r="X848" s="94">
        <f t="shared" si="483"/>
        <v>544871.38816239312</v>
      </c>
      <c r="Y848" s="87" t="str">
        <f t="shared" si="484"/>
        <v>ok</v>
      </c>
      <c r="Z848" s="91" t="str">
        <f t="shared" si="485"/>
        <v/>
      </c>
    </row>
    <row r="849" spans="1:26" ht="12" customHeight="1" x14ac:dyDescent="0.5">
      <c r="A849" s="86" t="s">
        <v>766</v>
      </c>
      <c r="D849" s="86" t="s">
        <v>2452</v>
      </c>
      <c r="F849" s="220">
        <v>550532.38816239312</v>
      </c>
      <c r="G849" s="220">
        <f>G842</f>
        <v>434515</v>
      </c>
      <c r="H849" s="220">
        <f>H842</f>
        <v>7755</v>
      </c>
      <c r="I849" s="220">
        <f>I842</f>
        <v>82742.610384615371</v>
      </c>
      <c r="J849" s="220">
        <f>J838</f>
        <v>424</v>
      </c>
      <c r="K849" s="220">
        <f>K842</f>
        <v>4442</v>
      </c>
      <c r="L849" s="220">
        <f>L843</f>
        <v>204</v>
      </c>
      <c r="M849" s="220">
        <f>M842</f>
        <v>765</v>
      </c>
      <c r="N849" s="220">
        <f>N842</f>
        <v>256</v>
      </c>
      <c r="O849" s="220">
        <v>0</v>
      </c>
      <c r="P849" s="220">
        <v>0</v>
      </c>
      <c r="Q849" s="220">
        <f>Q847</f>
        <v>19254.777777777777</v>
      </c>
      <c r="R849" s="220">
        <f>R844</f>
        <v>12</v>
      </c>
      <c r="S849" s="220">
        <f>S844</f>
        <v>148</v>
      </c>
      <c r="T849" s="220">
        <f>T842</f>
        <v>4</v>
      </c>
      <c r="U849" s="463">
        <f>U842</f>
        <v>10</v>
      </c>
      <c r="V849" s="220">
        <f>V838</f>
        <v>0</v>
      </c>
      <c r="W849" s="90">
        <v>0</v>
      </c>
      <c r="X849" s="94">
        <f t="shared" si="483"/>
        <v>550532.38816239312</v>
      </c>
      <c r="Y849" s="87" t="str">
        <f t="shared" si="484"/>
        <v>ok</v>
      </c>
      <c r="Z849" s="91" t="str">
        <f t="shared" si="485"/>
        <v/>
      </c>
    </row>
    <row r="850" spans="1:26" ht="12" customHeight="1" x14ac:dyDescent="0.5">
      <c r="A850" s="86" t="s">
        <v>2176</v>
      </c>
      <c r="D850" s="86" t="s">
        <v>2453</v>
      </c>
      <c r="F850" s="90">
        <v>550072.38816239312</v>
      </c>
      <c r="G850" s="90">
        <f>G842</f>
        <v>434515</v>
      </c>
      <c r="H850" s="90">
        <f>H842</f>
        <v>7755</v>
      </c>
      <c r="I850" s="90">
        <f>I842</f>
        <v>82742.610384615371</v>
      </c>
      <c r="J850" s="90">
        <f>J839</f>
        <v>424</v>
      </c>
      <c r="K850" s="90">
        <f>K842</f>
        <v>4442</v>
      </c>
      <c r="L850" s="90">
        <v>0</v>
      </c>
      <c r="M850" s="90">
        <f>M842</f>
        <v>765</v>
      </c>
      <c r="N850" s="90">
        <v>0</v>
      </c>
      <c r="O850" s="90">
        <v>0</v>
      </c>
      <c r="P850" s="90">
        <v>0</v>
      </c>
      <c r="Q850" s="90">
        <f>Q847</f>
        <v>19254.777777777777</v>
      </c>
      <c r="R850" s="90">
        <f>R844</f>
        <v>12</v>
      </c>
      <c r="S850" s="90">
        <f>S844</f>
        <v>148</v>
      </c>
      <c r="T850" s="90">
        <f>T842</f>
        <v>4</v>
      </c>
      <c r="U850" s="464">
        <f>U842</f>
        <v>10</v>
      </c>
      <c r="V850" s="90">
        <f>V839</f>
        <v>0</v>
      </c>
      <c r="W850" s="90">
        <v>0</v>
      </c>
      <c r="X850" s="94">
        <f t="shared" si="483"/>
        <v>550072.38816239312</v>
      </c>
      <c r="Y850" s="87" t="str">
        <f t="shared" si="484"/>
        <v>ok</v>
      </c>
      <c r="Z850" s="91" t="str">
        <f t="shared" si="485"/>
        <v/>
      </c>
    </row>
    <row r="851" spans="1:26" ht="12" customHeight="1" x14ac:dyDescent="0.5">
      <c r="F851" s="90"/>
      <c r="G851" s="90"/>
      <c r="H851" s="90"/>
      <c r="I851" s="90"/>
      <c r="J851" s="90"/>
      <c r="K851" s="90"/>
      <c r="L851" s="90"/>
      <c r="M851" s="90"/>
      <c r="N851" s="90"/>
      <c r="O851" s="90"/>
      <c r="P851" s="90"/>
      <c r="Q851" s="90"/>
      <c r="R851" s="90"/>
      <c r="S851" s="90"/>
      <c r="T851" s="90"/>
      <c r="U851" s="94"/>
      <c r="V851" s="94"/>
      <c r="W851" s="90"/>
      <c r="Y851" s="87"/>
    </row>
    <row r="852" spans="1:26" ht="12" customHeight="1" x14ac:dyDescent="0.5">
      <c r="A852" s="22" t="s">
        <v>767</v>
      </c>
    </row>
    <row r="853" spans="1:26" ht="12" customHeight="1" x14ac:dyDescent="0.5">
      <c r="A853" s="86" t="s">
        <v>2252</v>
      </c>
      <c r="D853" s="86" t="s">
        <v>2249</v>
      </c>
      <c r="F853" s="90">
        <f>'Billing Det'!F41</f>
        <v>4395336.8008682849</v>
      </c>
      <c r="G853" s="90">
        <f>'Billing Det'!F8</f>
        <v>1938073.4555977816</v>
      </c>
      <c r="H853" s="90">
        <f>'Billing Det'!F10</f>
        <v>6226.5405145583227</v>
      </c>
      <c r="I853" s="90">
        <f>'Billing Det'!F12</f>
        <v>498640.93691638455</v>
      </c>
      <c r="J853" s="90">
        <f>'Billing Det'!F14</f>
        <v>51033.053505076692</v>
      </c>
      <c r="K853" s="90">
        <f>'Billing Det'!F16</f>
        <v>444831.27870906284</v>
      </c>
      <c r="L853" s="90">
        <f>'Billing Det'!F18</f>
        <v>19114.763124868594</v>
      </c>
      <c r="M853" s="90">
        <f>'Billing Det'!F20</f>
        <v>393526.60100076534</v>
      </c>
      <c r="N853" s="90">
        <f>'Billing Det'!F22</f>
        <v>640911.13921073684</v>
      </c>
      <c r="O853" s="90">
        <f>'Billing Det'!F24</f>
        <v>222254.12773437682</v>
      </c>
      <c r="P853" s="90">
        <f>'Billing Det'!F26</f>
        <v>148927.31322082225</v>
      </c>
      <c r="Q853" s="90">
        <f>'Billing Det'!F28</f>
        <v>29995.599539766878</v>
      </c>
      <c r="R853" s="90">
        <f>'Billing Det'!F30</f>
        <v>1091.3322415009927</v>
      </c>
      <c r="S853" s="90">
        <f>'Billing Det'!F32</f>
        <v>294.03156148068956</v>
      </c>
      <c r="T853" s="90">
        <f>'Billing Det'!F34</f>
        <v>414.04436710277866</v>
      </c>
      <c r="U853" s="90">
        <f>'Billing Det'!F36</f>
        <v>2.5836240000000004</v>
      </c>
      <c r="V853" s="90">
        <f>'Billing Det'!F38</f>
        <v>0</v>
      </c>
      <c r="W853" s="90">
        <v>0</v>
      </c>
      <c r="X853" s="94">
        <f>SUM(G853:W853)</f>
        <v>4395336.8008682849</v>
      </c>
      <c r="Y853" s="87" t="str">
        <f>IF(ABS(F853-X853)&lt;0.01,"ok","err")</f>
        <v>ok</v>
      </c>
      <c r="Z853" s="91" t="str">
        <f>IF(Y853="err",X853-F853,"")</f>
        <v/>
      </c>
    </row>
    <row r="854" spans="1:26" ht="12" customHeight="1" x14ac:dyDescent="0.5">
      <c r="A854" s="86" t="s">
        <v>2251</v>
      </c>
      <c r="D854" s="86" t="s">
        <v>2253</v>
      </c>
      <c r="F854" s="90">
        <v>4024155.359913087</v>
      </c>
      <c r="G854" s="90">
        <f>G853</f>
        <v>1938073.4555977816</v>
      </c>
      <c r="H854" s="90">
        <f>H853</f>
        <v>6226.5405145583227</v>
      </c>
      <c r="I854" s="90">
        <f t="shared" ref="I854:N854" si="489">I853</f>
        <v>498640.93691638455</v>
      </c>
      <c r="J854" s="90">
        <f t="shared" si="489"/>
        <v>51033.053505076692</v>
      </c>
      <c r="K854" s="90">
        <f t="shared" si="489"/>
        <v>444831.27870906284</v>
      </c>
      <c r="L854" s="90">
        <f t="shared" si="489"/>
        <v>19114.763124868594</v>
      </c>
      <c r="M854" s="90">
        <f t="shared" si="489"/>
        <v>393526.60100076534</v>
      </c>
      <c r="N854" s="90">
        <f t="shared" si="489"/>
        <v>640911.13921073684</v>
      </c>
      <c r="O854" s="90">
        <v>0</v>
      </c>
      <c r="P854" s="90">
        <v>0</v>
      </c>
      <c r="Q854" s="90">
        <f t="shared" ref="Q854:V854" si="490">Q853</f>
        <v>29995.599539766878</v>
      </c>
      <c r="R854" s="90">
        <f t="shared" si="490"/>
        <v>1091.3322415009927</v>
      </c>
      <c r="S854" s="90">
        <f t="shared" si="490"/>
        <v>294.03156148068956</v>
      </c>
      <c r="T854" s="90">
        <f t="shared" si="490"/>
        <v>414.04436710277866</v>
      </c>
      <c r="U854" s="90">
        <f t="shared" si="490"/>
        <v>2.5836240000000004</v>
      </c>
      <c r="V854" s="90">
        <f t="shared" si="490"/>
        <v>0</v>
      </c>
      <c r="W854" s="90">
        <v>0</v>
      </c>
      <c r="X854" s="94">
        <f>SUM(G854:W854)</f>
        <v>4024155.359913087</v>
      </c>
      <c r="Y854" s="87" t="str">
        <f>IF(ABS(F854-X854)&lt;0.01,"ok","err")</f>
        <v>ok</v>
      </c>
      <c r="Z854" s="91" t="str">
        <f>IF(Y854="err",X854-F854,"")</f>
        <v/>
      </c>
    </row>
    <row r="855" spans="1:26" ht="12" customHeight="1" x14ac:dyDescent="0.5">
      <c r="A855" s="86" t="s">
        <v>2250</v>
      </c>
      <c r="D855" s="86" t="s">
        <v>2178</v>
      </c>
      <c r="F855" s="90">
        <v>6317107.6163463537</v>
      </c>
      <c r="G855" s="90">
        <f>'Billing Det'!G8</f>
        <v>4306026.4117211783</v>
      </c>
      <c r="H855" s="90">
        <f>'Billing Det'!G10</f>
        <v>12948.562385265441</v>
      </c>
      <c r="I855" s="90">
        <f>'Billing Det'!G12</f>
        <v>805142.80538294511</v>
      </c>
      <c r="J855" s="90">
        <f>'Billing Det'!G14</f>
        <v>58360.99794267011</v>
      </c>
      <c r="K855" s="90">
        <f>'Billing Det'!G16</f>
        <v>594859.36407179828</v>
      </c>
      <c r="L855" s="90">
        <v>0</v>
      </c>
      <c r="M855" s="90">
        <f>'Billing Det'!G20</f>
        <v>507680.84211596829</v>
      </c>
      <c r="N855" s="90">
        <v>0</v>
      </c>
      <c r="O855" s="90">
        <v>0</v>
      </c>
      <c r="P855" s="90">
        <v>0</v>
      </c>
      <c r="Q855" s="90">
        <f>'Billing Det'!G28</f>
        <v>29995.599539766878</v>
      </c>
      <c r="R855" s="90">
        <f>'Billing Det'!G30</f>
        <v>1091.3322415009927</v>
      </c>
      <c r="S855" s="90">
        <f>'Billing Det'!G32</f>
        <v>294.03156148068956</v>
      </c>
      <c r="T855" s="90">
        <f>'Billing Det'!G34</f>
        <v>705.08575977897306</v>
      </c>
      <c r="U855" s="90">
        <f>'Billing Det'!G36</f>
        <v>2.5836240000000004</v>
      </c>
      <c r="V855" s="90">
        <f>'Billing Det'!G38</f>
        <v>0</v>
      </c>
      <c r="W855" s="90">
        <v>0</v>
      </c>
      <c r="X855" s="94">
        <f>SUM(G855:W855)</f>
        <v>6317107.6163463537</v>
      </c>
      <c r="Y855" s="87" t="str">
        <f>IF(ABS(F855-X855)&lt;0.01,"ok","err")</f>
        <v>ok</v>
      </c>
      <c r="Z855" s="91" t="str">
        <f>IF(Y855="err",X855-F855,"")</f>
        <v/>
      </c>
    </row>
    <row r="856" spans="1:26" ht="12" customHeight="1" x14ac:dyDescent="0.5">
      <c r="A856" s="86" t="s">
        <v>735</v>
      </c>
      <c r="D856" s="86" t="s">
        <v>734</v>
      </c>
      <c r="F856" s="90">
        <v>5213862.3243988072</v>
      </c>
      <c r="G856" s="90">
        <f>G855</f>
        <v>4306026.4117211783</v>
      </c>
      <c r="H856" s="90">
        <f>H855</f>
        <v>12948.562385265441</v>
      </c>
      <c r="I856" s="90">
        <f>I855</f>
        <v>805142.80538294511</v>
      </c>
      <c r="J856" s="90">
        <f>J855</f>
        <v>58360.99794267011</v>
      </c>
      <c r="K856" s="90">
        <v>0</v>
      </c>
      <c r="L856" s="90">
        <v>0</v>
      </c>
      <c r="M856" s="90">
        <v>0</v>
      </c>
      <c r="N856" s="90">
        <v>0</v>
      </c>
      <c r="O856" s="90">
        <v>0</v>
      </c>
      <c r="P856" s="90">
        <v>0</v>
      </c>
      <c r="Q856" s="90">
        <f>Q855</f>
        <v>29995.599539766878</v>
      </c>
      <c r="R856" s="90">
        <f>R855</f>
        <v>1091.3322415009927</v>
      </c>
      <c r="S856" s="90">
        <f>S855</f>
        <v>294.03156148068956</v>
      </c>
      <c r="T856" s="90">
        <v>0</v>
      </c>
      <c r="U856" s="90">
        <f>U855</f>
        <v>2.5836240000000004</v>
      </c>
      <c r="V856" s="90">
        <f>V855</f>
        <v>0</v>
      </c>
      <c r="W856" s="90">
        <v>0</v>
      </c>
      <c r="X856" s="94">
        <f>SUM(G856:W856)</f>
        <v>5213862.3243988072</v>
      </c>
      <c r="Y856" s="87" t="str">
        <f>IF(ABS(F856-X856)&lt;0.01,"ok","err")</f>
        <v>ok</v>
      </c>
      <c r="Z856" s="91" t="str">
        <f>IF(Y856="err",X856-F856,"")</f>
        <v/>
      </c>
    </row>
    <row r="857" spans="1:26" ht="12" customHeight="1" x14ac:dyDescent="0.5">
      <c r="A857" s="86" t="s">
        <v>2351</v>
      </c>
      <c r="D857" s="86" t="s">
        <v>2273</v>
      </c>
      <c r="F857" s="90">
        <f>'Billing Det'!E41</f>
        <v>2463594.9027471254</v>
      </c>
      <c r="G857" s="90">
        <f>'Billing Det'!E8</f>
        <v>1010009.7690536255</v>
      </c>
      <c r="H857" s="90">
        <f>'Billing Det'!E10</f>
        <v>1031.482039309476</v>
      </c>
      <c r="I857" s="90">
        <f>'Billing Det'!E12</f>
        <v>272317.21231124201</v>
      </c>
      <c r="J857" s="90">
        <f>'Billing Det'!E14</f>
        <v>17473.851647119453</v>
      </c>
      <c r="K857" s="90">
        <f>'Billing Det'!E16</f>
        <v>253946.70088653482</v>
      </c>
      <c r="L857" s="90">
        <f>'Billing Det'!E18</f>
        <v>11032.760543498471</v>
      </c>
      <c r="M857" s="90">
        <f>'Billing Det'!E20</f>
        <v>244227.26935782068</v>
      </c>
      <c r="N857" s="90">
        <f>'Billing Det'!E22</f>
        <v>447085.04602882155</v>
      </c>
      <c r="O857" s="90">
        <f>'Billing Det'!E24</f>
        <v>145532.91289106099</v>
      </c>
      <c r="P857" s="90">
        <f>'Billing Det'!E26</f>
        <v>60264.978990539406</v>
      </c>
      <c r="Q857" s="90">
        <f>'Billing Det'!E28</f>
        <v>392.81061927535228</v>
      </c>
      <c r="R857" s="90">
        <f>'Billing Det'!E30</f>
        <v>14.291659449941212</v>
      </c>
      <c r="S857" s="90">
        <f>'Billing Det'!E32</f>
        <v>233.70122555804252</v>
      </c>
      <c r="T857" s="90">
        <f>'Billing Det'!E34</f>
        <v>30.081348263269305</v>
      </c>
      <c r="U857" s="90">
        <f>'Billing Det'!E36</f>
        <v>2.0341450058514727</v>
      </c>
      <c r="V857" s="90">
        <f>'Billing Det'!E38</f>
        <v>0</v>
      </c>
      <c r="W857" s="90">
        <v>0</v>
      </c>
      <c r="X857" s="94">
        <f>SUM(G857:W857)</f>
        <v>2463594.9027471254</v>
      </c>
      <c r="Y857" s="87" t="str">
        <f>IF(ABS(F857-X857)&lt;0.01,"ok","err")</f>
        <v>ok</v>
      </c>
      <c r="Z857" s="91" t="str">
        <f>IF(Y857="err",X857-F857,"")</f>
        <v/>
      </c>
    </row>
    <row r="858" spans="1:26" ht="12" customHeight="1" x14ac:dyDescent="0.5">
      <c r="F858" s="90"/>
      <c r="G858" s="90"/>
      <c r="H858" s="90"/>
      <c r="I858" s="90"/>
      <c r="J858" s="90"/>
      <c r="K858" s="90"/>
      <c r="L858" s="90"/>
      <c r="M858" s="90"/>
      <c r="N858" s="90"/>
      <c r="O858" s="90"/>
      <c r="P858" s="90"/>
      <c r="Q858" s="90"/>
      <c r="R858" s="90"/>
      <c r="S858" s="90"/>
      <c r="T858" s="90"/>
      <c r="U858" s="90"/>
      <c r="V858" s="90"/>
      <c r="W858" s="90"/>
      <c r="Y858" s="87"/>
      <c r="Z858" s="91"/>
    </row>
    <row r="859" spans="1:26" ht="12" customHeight="1" x14ac:dyDescent="0.5">
      <c r="A859" s="81" t="s">
        <v>2417</v>
      </c>
      <c r="F859" s="107"/>
      <c r="G859" s="106"/>
      <c r="H859" s="106"/>
      <c r="I859" s="106"/>
      <c r="J859" s="106"/>
      <c r="K859" s="106"/>
      <c r="L859" s="106"/>
      <c r="M859" s="106"/>
      <c r="N859" s="106"/>
      <c r="O859" s="106"/>
      <c r="P859" s="106"/>
      <c r="Q859" s="106"/>
      <c r="R859" s="106"/>
      <c r="S859" s="106"/>
      <c r="T859" s="106"/>
      <c r="U859" s="106"/>
      <c r="V859" s="106"/>
      <c r="W859" s="106"/>
      <c r="Y859" s="87"/>
    </row>
    <row r="860" spans="1:26" ht="12" customHeight="1" x14ac:dyDescent="0.5">
      <c r="A860" s="86" t="s">
        <v>2371</v>
      </c>
      <c r="D860" s="86" t="s">
        <v>2363</v>
      </c>
      <c r="F860" s="90">
        <f>F857</f>
        <v>2463594.9027471254</v>
      </c>
      <c r="G860" s="90">
        <f>G857</f>
        <v>1010009.7690536255</v>
      </c>
      <c r="H860" s="90">
        <f>H857</f>
        <v>1031.482039309476</v>
      </c>
      <c r="I860" s="90">
        <f t="shared" ref="I860:W860" si="491">I857</f>
        <v>272317.21231124201</v>
      </c>
      <c r="J860" s="90">
        <f t="shared" si="491"/>
        <v>17473.851647119453</v>
      </c>
      <c r="K860" s="90">
        <f t="shared" si="491"/>
        <v>253946.70088653482</v>
      </c>
      <c r="L860" s="90">
        <f t="shared" si="491"/>
        <v>11032.760543498471</v>
      </c>
      <c r="M860" s="90">
        <f t="shared" si="491"/>
        <v>244227.26935782068</v>
      </c>
      <c r="N860" s="90">
        <f t="shared" si="491"/>
        <v>447085.04602882155</v>
      </c>
      <c r="O860" s="90">
        <f t="shared" si="491"/>
        <v>145532.91289106099</v>
      </c>
      <c r="P860" s="90">
        <f t="shared" si="491"/>
        <v>60264.978990539406</v>
      </c>
      <c r="Q860" s="90">
        <f t="shared" si="491"/>
        <v>392.81061927535228</v>
      </c>
      <c r="R860" s="90">
        <f t="shared" si="491"/>
        <v>14.291659449941212</v>
      </c>
      <c r="S860" s="90">
        <f t="shared" si="491"/>
        <v>233.70122555804252</v>
      </c>
      <c r="T860" s="90">
        <f t="shared" si="491"/>
        <v>30.081348263269305</v>
      </c>
      <c r="U860" s="90">
        <f t="shared" si="491"/>
        <v>2.0341450058514727</v>
      </c>
      <c r="V860" s="90">
        <f t="shared" si="491"/>
        <v>0</v>
      </c>
      <c r="W860" s="90">
        <f t="shared" si="491"/>
        <v>0</v>
      </c>
      <c r="X860" s="94">
        <f>SUM(G860:W860)</f>
        <v>2463594.9027471254</v>
      </c>
      <c r="Y860" s="87" t="str">
        <f t="shared" ref="Y860:Y865" si="492">IF(ABS(F860-X860)&lt;0.01,"ok","err")</f>
        <v>ok</v>
      </c>
      <c r="Z860" s="91" t="str">
        <f t="shared" ref="Z860:Z865" si="493">IF(Y860="err",X860-F860,"")</f>
        <v/>
      </c>
    </row>
    <row r="861" spans="1:26" ht="12" customHeight="1" x14ac:dyDescent="0.5">
      <c r="A861" s="86" t="s">
        <v>2372</v>
      </c>
      <c r="F861" s="91">
        <f>F8</f>
        <v>6073014122.7946768</v>
      </c>
      <c r="G861" s="90"/>
      <c r="H861" s="90"/>
      <c r="I861" s="90"/>
      <c r="J861" s="90"/>
      <c r="K861" s="90"/>
      <c r="L861" s="90"/>
      <c r="M861" s="90"/>
      <c r="N861" s="90"/>
      <c r="O861" s="90"/>
      <c r="P861" s="90"/>
      <c r="Q861" s="90"/>
      <c r="R861" s="90"/>
      <c r="S861" s="90"/>
      <c r="T861" s="90"/>
      <c r="U861" s="90"/>
      <c r="V861" s="90"/>
      <c r="W861" s="90">
        <f>W858</f>
        <v>0</v>
      </c>
      <c r="X861" s="94">
        <f>F861</f>
        <v>6073014122.7946768</v>
      </c>
      <c r="Y861" s="87" t="str">
        <f t="shared" si="492"/>
        <v>ok</v>
      </c>
      <c r="Z861" s="91" t="str">
        <f t="shared" si="493"/>
        <v/>
      </c>
    </row>
    <row r="862" spans="1:26" ht="12" customHeight="1" x14ac:dyDescent="0.5">
      <c r="A862" s="86" t="s">
        <v>849</v>
      </c>
      <c r="F862" s="91">
        <v>3728601.1500000004</v>
      </c>
      <c r="G862" s="91"/>
      <c r="H862" s="91"/>
      <c r="I862" s="91"/>
      <c r="J862" s="91"/>
      <c r="K862" s="91"/>
      <c r="L862" s="91"/>
      <c r="M862" s="91"/>
      <c r="N862" s="91"/>
      <c r="O862" s="91"/>
      <c r="P862" s="91"/>
      <c r="Q862" s="91"/>
      <c r="R862" s="91"/>
      <c r="S862" s="91"/>
      <c r="T862" s="91"/>
      <c r="U862" s="91"/>
      <c r="V862" s="91">
        <f>2795756.74+529301.18</f>
        <v>3325057.9200000004</v>
      </c>
      <c r="W862" s="91">
        <f>403543.23</f>
        <v>403543.23</v>
      </c>
      <c r="X862" s="94">
        <f>SUM(G862:W862)</f>
        <v>3728601.1500000004</v>
      </c>
      <c r="Y862" s="87" t="str">
        <f t="shared" si="492"/>
        <v>ok</v>
      </c>
      <c r="Z862" s="91" t="str">
        <f t="shared" si="493"/>
        <v/>
      </c>
    </row>
    <row r="863" spans="1:26" ht="12" customHeight="1" x14ac:dyDescent="0.5">
      <c r="A863" s="86" t="s">
        <v>2373</v>
      </c>
      <c r="E863" s="86" t="s">
        <v>2363</v>
      </c>
      <c r="F863" s="91">
        <f>F861-F862</f>
        <v>6069285521.6446772</v>
      </c>
      <c r="G863" s="89">
        <f t="shared" ref="G863:W863" si="494">IF(VLOOKUP($E863,$D$5:$AK$997,3,)=0,0,(VLOOKUP($E863,$D$5:$AK$997,G$1,)/VLOOKUP($E863,$D$5:$AK$997,3,))*$F863)</f>
        <v>2488249046.62748</v>
      </c>
      <c r="H863" s="89">
        <f t="shared" si="494"/>
        <v>2541147.8973416761</v>
      </c>
      <c r="I863" s="89">
        <f t="shared" si="494"/>
        <v>670877712.94390798</v>
      </c>
      <c r="J863" s="89">
        <f t="shared" si="494"/>
        <v>43048390.257249579</v>
      </c>
      <c r="K863" s="89">
        <f t="shared" si="494"/>
        <v>625620321.44222236</v>
      </c>
      <c r="L863" s="89">
        <f t="shared" si="494"/>
        <v>27180188.494366724</v>
      </c>
      <c r="M863" s="89">
        <f t="shared" si="494"/>
        <v>601675635.97869003</v>
      </c>
      <c r="N863" s="89">
        <f t="shared" si="494"/>
        <v>1101433841.1647117</v>
      </c>
      <c r="O863" s="89">
        <f t="shared" si="494"/>
        <v>358533296.26049989</v>
      </c>
      <c r="P863" s="89">
        <f t="shared" si="494"/>
        <v>148468144.67818588</v>
      </c>
      <c r="Q863" s="89">
        <f t="shared" si="494"/>
        <v>967723.95561369124</v>
      </c>
      <c r="R863" s="89">
        <f t="shared" si="494"/>
        <v>35208.776281799255</v>
      </c>
      <c r="S863" s="89">
        <f t="shared" si="494"/>
        <v>575743.78932526777</v>
      </c>
      <c r="T863" s="89">
        <f t="shared" si="494"/>
        <v>74108.081357948686</v>
      </c>
      <c r="U863" s="89">
        <f t="shared" si="494"/>
        <v>5011.2974414638984</v>
      </c>
      <c r="V863" s="89">
        <f t="shared" si="494"/>
        <v>0</v>
      </c>
      <c r="W863" s="89">
        <f t="shared" si="494"/>
        <v>0</v>
      </c>
      <c r="X863" s="94">
        <f>SUM(G863:W863)</f>
        <v>6069285521.6446762</v>
      </c>
      <c r="Y863" s="87" t="str">
        <f t="shared" si="492"/>
        <v>ok</v>
      </c>
      <c r="Z863" s="91" t="str">
        <f t="shared" si="493"/>
        <v/>
      </c>
    </row>
    <row r="864" spans="1:26" ht="12" customHeight="1" x14ac:dyDescent="0.5">
      <c r="A864" s="86" t="s">
        <v>2374</v>
      </c>
      <c r="D864" s="86" t="s">
        <v>2364</v>
      </c>
      <c r="F864" s="91">
        <f>F862+F863</f>
        <v>6073014122.7946768</v>
      </c>
      <c r="G864" s="91">
        <f>G862+G863</f>
        <v>2488249046.62748</v>
      </c>
      <c r="H864" s="91">
        <f>H862+H863</f>
        <v>2541147.8973416761</v>
      </c>
      <c r="I864" s="91">
        <f t="shared" ref="I864:W864" si="495">I862+I863</f>
        <v>670877712.94390798</v>
      </c>
      <c r="J864" s="91">
        <f t="shared" si="495"/>
        <v>43048390.257249579</v>
      </c>
      <c r="K864" s="91">
        <f t="shared" si="495"/>
        <v>625620321.44222236</v>
      </c>
      <c r="L864" s="91">
        <f t="shared" si="495"/>
        <v>27180188.494366724</v>
      </c>
      <c r="M864" s="91">
        <f t="shared" si="495"/>
        <v>601675635.97869003</v>
      </c>
      <c r="N864" s="91">
        <f t="shared" si="495"/>
        <v>1101433841.1647117</v>
      </c>
      <c r="O864" s="91">
        <f t="shared" si="495"/>
        <v>358533296.26049989</v>
      </c>
      <c r="P864" s="91">
        <f t="shared" si="495"/>
        <v>148468144.67818588</v>
      </c>
      <c r="Q864" s="91">
        <f t="shared" si="495"/>
        <v>967723.95561369124</v>
      </c>
      <c r="R864" s="91">
        <f t="shared" si="495"/>
        <v>35208.776281799255</v>
      </c>
      <c r="S864" s="91">
        <f t="shared" si="495"/>
        <v>575743.78932526777</v>
      </c>
      <c r="T864" s="91">
        <f t="shared" si="495"/>
        <v>74108.081357948686</v>
      </c>
      <c r="U864" s="91">
        <f t="shared" si="495"/>
        <v>5011.2974414638984</v>
      </c>
      <c r="V864" s="91">
        <f t="shared" si="495"/>
        <v>3325057.9200000004</v>
      </c>
      <c r="W864" s="91">
        <f t="shared" si="495"/>
        <v>403543.23</v>
      </c>
      <c r="X864" s="94">
        <f>SUM(G864:W864)</f>
        <v>6073014122.7946758</v>
      </c>
      <c r="Y864" s="87" t="str">
        <f t="shared" si="492"/>
        <v>ok</v>
      </c>
      <c r="Z864" s="91" t="str">
        <f t="shared" si="493"/>
        <v/>
      </c>
    </row>
    <row r="865" spans="1:26" ht="12" customHeight="1" x14ac:dyDescent="0.5">
      <c r="A865" s="86" t="s">
        <v>2375</v>
      </c>
      <c r="D865" s="86" t="s">
        <v>2365</v>
      </c>
      <c r="E865" s="86" t="s">
        <v>2364</v>
      </c>
      <c r="F865" s="107">
        <v>1</v>
      </c>
      <c r="G865" s="106">
        <f t="shared" ref="G865:W865" si="496">IF(VLOOKUP($E865,$D$5:$AK$997,3,)=0,0,(VLOOKUP($E865,$D$5:$AK$997,G$1,)/VLOOKUP($E865,$D$5:$AK$997,3,))*$F865)</f>
        <v>0.40972225592033346</v>
      </c>
      <c r="H865" s="106">
        <f t="shared" si="496"/>
        <v>4.184327330647293E-4</v>
      </c>
      <c r="I865" s="106">
        <f t="shared" si="496"/>
        <v>0.11046865681174865</v>
      </c>
      <c r="J865" s="106">
        <f t="shared" si="496"/>
        <v>7.0884719493192272E-3</v>
      </c>
      <c r="K865" s="106">
        <f t="shared" si="496"/>
        <v>0.10301644435404748</v>
      </c>
      <c r="L865" s="106">
        <f t="shared" si="496"/>
        <v>4.4755681354910065E-3</v>
      </c>
      <c r="M865" s="106">
        <f t="shared" si="496"/>
        <v>9.9073643468131967E-2</v>
      </c>
      <c r="N865" s="106">
        <f t="shared" si="496"/>
        <v>0.18136526918825185</v>
      </c>
      <c r="O865" s="106">
        <f t="shared" si="496"/>
        <v>5.9037125389642633E-2</v>
      </c>
      <c r="P865" s="106">
        <f t="shared" si="496"/>
        <v>2.4447192395110697E-2</v>
      </c>
      <c r="Q865" s="106">
        <f t="shared" si="496"/>
        <v>1.5934821425515877E-4</v>
      </c>
      <c r="R865" s="106">
        <f t="shared" si="496"/>
        <v>5.7975785285341799E-6</v>
      </c>
      <c r="S865" s="106">
        <f t="shared" si="496"/>
        <v>9.4803630896271037E-5</v>
      </c>
      <c r="T865" s="106">
        <f t="shared" si="496"/>
        <v>1.2202850159657733E-5</v>
      </c>
      <c r="U865" s="106">
        <f t="shared" si="496"/>
        <v>8.2517467276328381E-7</v>
      </c>
      <c r="V865" s="106">
        <f t="shared" si="496"/>
        <v>5.4751361560639292E-4</v>
      </c>
      <c r="W865" s="106">
        <f t="shared" si="496"/>
        <v>6.6448590739370396E-5</v>
      </c>
      <c r="X865" s="98">
        <f>SUM(G865:W865)</f>
        <v>1</v>
      </c>
      <c r="Y865" s="87" t="str">
        <f t="shared" si="492"/>
        <v>ok</v>
      </c>
      <c r="Z865" s="91" t="str">
        <f t="shared" si="493"/>
        <v/>
      </c>
    </row>
    <row r="866" spans="1:26" ht="12" customHeight="1" x14ac:dyDescent="0.5">
      <c r="F866" s="107"/>
      <c r="G866" s="106"/>
      <c r="H866" s="106"/>
      <c r="I866" s="106"/>
      <c r="J866" s="106"/>
      <c r="K866" s="106"/>
      <c r="L866" s="106"/>
      <c r="M866" s="106"/>
      <c r="N866" s="106"/>
      <c r="O866" s="106"/>
      <c r="P866" s="106"/>
      <c r="Q866" s="106"/>
      <c r="R866" s="106"/>
      <c r="S866" s="106"/>
      <c r="T866" s="106"/>
      <c r="U866" s="106"/>
      <c r="V866" s="106"/>
      <c r="W866" s="106"/>
      <c r="Y866" s="87"/>
    </row>
    <row r="867" spans="1:26" ht="12" customHeight="1" x14ac:dyDescent="0.5">
      <c r="A867" s="86" t="s">
        <v>2366</v>
      </c>
      <c r="D867" s="86" t="s">
        <v>2376</v>
      </c>
      <c r="F867" s="90">
        <f>F857</f>
        <v>2463594.9027471254</v>
      </c>
      <c r="G867" s="90">
        <f t="shared" ref="G867:W867" si="497">G857</f>
        <v>1010009.7690536255</v>
      </c>
      <c r="H867" s="90">
        <f t="shared" si="497"/>
        <v>1031.482039309476</v>
      </c>
      <c r="I867" s="90">
        <f t="shared" si="497"/>
        <v>272317.21231124201</v>
      </c>
      <c r="J867" s="90">
        <f t="shared" si="497"/>
        <v>17473.851647119453</v>
      </c>
      <c r="K867" s="90">
        <f t="shared" si="497"/>
        <v>253946.70088653482</v>
      </c>
      <c r="L867" s="90">
        <f t="shared" si="497"/>
        <v>11032.760543498471</v>
      </c>
      <c r="M867" s="90">
        <f t="shared" si="497"/>
        <v>244227.26935782068</v>
      </c>
      <c r="N867" s="90">
        <f t="shared" si="497"/>
        <v>447085.04602882155</v>
      </c>
      <c r="O867" s="90">
        <f t="shared" si="497"/>
        <v>145532.91289106099</v>
      </c>
      <c r="P867" s="90">
        <f t="shared" si="497"/>
        <v>60264.978990539406</v>
      </c>
      <c r="Q867" s="90">
        <f t="shared" si="497"/>
        <v>392.81061927535228</v>
      </c>
      <c r="R867" s="90">
        <f t="shared" si="497"/>
        <v>14.291659449941212</v>
      </c>
      <c r="S867" s="90">
        <f t="shared" si="497"/>
        <v>233.70122555804252</v>
      </c>
      <c r="T867" s="90">
        <f t="shared" si="497"/>
        <v>30.081348263269305</v>
      </c>
      <c r="U867" s="90">
        <f t="shared" si="497"/>
        <v>2.0341450058514727</v>
      </c>
      <c r="V867" s="90">
        <f t="shared" si="497"/>
        <v>0</v>
      </c>
      <c r="W867" s="90">
        <f t="shared" si="497"/>
        <v>0</v>
      </c>
      <c r="X867" s="94">
        <f>SUM(G867:W867)</f>
        <v>2463594.9027471254</v>
      </c>
      <c r="Y867" s="87" t="str">
        <f t="shared" ref="Y867:Y872" si="498">IF(ABS(F867-X867)&lt;0.01,"ok","err")</f>
        <v>ok</v>
      </c>
      <c r="Z867" s="91" t="str">
        <f t="shared" ref="Z867:Z872" si="499">IF(Y867="err",X867-F867,"")</f>
        <v/>
      </c>
    </row>
    <row r="868" spans="1:26" ht="12" customHeight="1" x14ac:dyDescent="0.5">
      <c r="A868" s="86" t="s">
        <v>2367</v>
      </c>
      <c r="F868" s="91">
        <f>F66</f>
        <v>3680027941.1597633</v>
      </c>
      <c r="G868" s="90"/>
      <c r="H868" s="90"/>
      <c r="I868" s="90"/>
      <c r="J868" s="90"/>
      <c r="K868" s="90"/>
      <c r="L868" s="90"/>
      <c r="M868" s="90"/>
      <c r="N868" s="90"/>
      <c r="O868" s="90"/>
      <c r="P868" s="90"/>
      <c r="Q868" s="90"/>
      <c r="R868" s="90"/>
      <c r="S868" s="90"/>
      <c r="T868" s="90"/>
      <c r="U868" s="90"/>
      <c r="V868" s="90"/>
      <c r="W868" s="90"/>
      <c r="X868" s="94">
        <f>F868</f>
        <v>3680027941.1597633</v>
      </c>
      <c r="Y868" s="87" t="str">
        <f t="shared" si="498"/>
        <v>ok</v>
      </c>
      <c r="Z868" s="91" t="str">
        <f t="shared" si="499"/>
        <v/>
      </c>
    </row>
    <row r="869" spans="1:26" ht="12" customHeight="1" x14ac:dyDescent="0.5">
      <c r="A869" s="86" t="s">
        <v>849</v>
      </c>
      <c r="F869" s="91">
        <v>3513379.5900000003</v>
      </c>
      <c r="G869" s="91"/>
      <c r="H869" s="91"/>
      <c r="I869" s="91"/>
      <c r="J869" s="91"/>
      <c r="K869" s="91"/>
      <c r="L869" s="91"/>
      <c r="M869" s="91"/>
      <c r="N869" s="91"/>
      <c r="O869" s="91"/>
      <c r="P869" s="91"/>
      <c r="Q869" s="91"/>
      <c r="R869" s="91"/>
      <c r="S869" s="91"/>
      <c r="T869" s="91"/>
      <c r="U869" s="91"/>
      <c r="V869" s="91">
        <f>V862-183105.13</f>
        <v>3141952.7900000005</v>
      </c>
      <c r="W869" s="91">
        <f>W862-32116.43</f>
        <v>371426.8</v>
      </c>
      <c r="X869" s="94">
        <f>SUM(G869:W869)</f>
        <v>3513379.5900000003</v>
      </c>
      <c r="Y869" s="87" t="str">
        <f t="shared" si="498"/>
        <v>ok</v>
      </c>
      <c r="Z869" s="91" t="str">
        <f t="shared" si="499"/>
        <v/>
      </c>
    </row>
    <row r="870" spans="1:26" ht="12" customHeight="1" x14ac:dyDescent="0.5">
      <c r="A870" s="86" t="s">
        <v>2368</v>
      </c>
      <c r="E870" s="86" t="s">
        <v>2376</v>
      </c>
      <c r="F870" s="91">
        <f>F868-F869</f>
        <v>3676514561.5697632</v>
      </c>
      <c r="G870" s="89">
        <f t="shared" ref="G870:W870" si="500">IF(VLOOKUP($E870,$D$5:$AK$997,3,)=0,0,(VLOOKUP($E870,$D$5:$AK$997,G$1,)/VLOOKUP($E870,$D$5:$AK$997,3,))*$F870)</f>
        <v>1507275250.1284583</v>
      </c>
      <c r="H870" s="89">
        <f t="shared" si="500"/>
        <v>1539319.1199130428</v>
      </c>
      <c r="I870" s="89">
        <f t="shared" si="500"/>
        <v>406389132.93413788</v>
      </c>
      <c r="J870" s="89">
        <f t="shared" si="500"/>
        <v>26076880.560074221</v>
      </c>
      <c r="K870" s="89">
        <f t="shared" si="500"/>
        <v>378974133.54397547</v>
      </c>
      <c r="L870" s="89">
        <f t="shared" si="500"/>
        <v>16464600.063611975</v>
      </c>
      <c r="M870" s="89">
        <f t="shared" si="500"/>
        <v>364469463.35422486</v>
      </c>
      <c r="N870" s="89">
        <f t="shared" si="500"/>
        <v>667201689.75514746</v>
      </c>
      <c r="O870" s="89">
        <f t="shared" si="500"/>
        <v>217184194.05520666</v>
      </c>
      <c r="P870" s="89">
        <f t="shared" si="500"/>
        <v>89935675.936149001</v>
      </c>
      <c r="Q870" s="89">
        <f t="shared" si="500"/>
        <v>586205.93836051854</v>
      </c>
      <c r="R870" s="89">
        <f t="shared" si="500"/>
        <v>21327.97645348038</v>
      </c>
      <c r="S870" s="89">
        <f t="shared" si="500"/>
        <v>348761.0555870012</v>
      </c>
      <c r="T870" s="89">
        <f t="shared" si="500"/>
        <v>44891.518000073098</v>
      </c>
      <c r="U870" s="89">
        <f t="shared" si="500"/>
        <v>3035.6304626292631</v>
      </c>
      <c r="V870" s="89">
        <f t="shared" si="500"/>
        <v>0</v>
      </c>
      <c r="W870" s="89">
        <f t="shared" si="500"/>
        <v>0</v>
      </c>
      <c r="X870" s="94">
        <f>SUM(G870:W870)</f>
        <v>3676514561.5697627</v>
      </c>
      <c r="Y870" s="87" t="str">
        <f t="shared" si="498"/>
        <v>ok</v>
      </c>
      <c r="Z870" s="91" t="str">
        <f t="shared" si="499"/>
        <v/>
      </c>
    </row>
    <row r="871" spans="1:26" ht="12" customHeight="1" x14ac:dyDescent="0.5">
      <c r="A871" s="86" t="s">
        <v>2369</v>
      </c>
      <c r="D871" s="86" t="s">
        <v>2377</v>
      </c>
      <c r="F871" s="91">
        <f t="shared" ref="F871:W871" si="501">F869+F870</f>
        <v>3680027941.1597633</v>
      </c>
      <c r="G871" s="91">
        <f t="shared" si="501"/>
        <v>1507275250.1284583</v>
      </c>
      <c r="H871" s="91">
        <f t="shared" ref="H871" si="502">H869+H870</f>
        <v>1539319.1199130428</v>
      </c>
      <c r="I871" s="91">
        <f t="shared" si="501"/>
        <v>406389132.93413788</v>
      </c>
      <c r="J871" s="91">
        <f t="shared" si="501"/>
        <v>26076880.560074221</v>
      </c>
      <c r="K871" s="91">
        <f t="shared" si="501"/>
        <v>378974133.54397547</v>
      </c>
      <c r="L871" s="91">
        <f t="shared" si="501"/>
        <v>16464600.063611975</v>
      </c>
      <c r="M871" s="91">
        <f t="shared" si="501"/>
        <v>364469463.35422486</v>
      </c>
      <c r="N871" s="91">
        <f t="shared" si="501"/>
        <v>667201689.75514746</v>
      </c>
      <c r="O871" s="91">
        <f t="shared" si="501"/>
        <v>217184194.05520666</v>
      </c>
      <c r="P871" s="91">
        <f t="shared" si="501"/>
        <v>89935675.936149001</v>
      </c>
      <c r="Q871" s="91">
        <f t="shared" si="501"/>
        <v>586205.93836051854</v>
      </c>
      <c r="R871" s="91">
        <f t="shared" si="501"/>
        <v>21327.97645348038</v>
      </c>
      <c r="S871" s="91">
        <f t="shared" si="501"/>
        <v>348761.0555870012</v>
      </c>
      <c r="T871" s="91">
        <f t="shared" si="501"/>
        <v>44891.518000073098</v>
      </c>
      <c r="U871" s="91">
        <f t="shared" si="501"/>
        <v>3035.6304626292631</v>
      </c>
      <c r="V871" s="91">
        <f t="shared" si="501"/>
        <v>3141952.7900000005</v>
      </c>
      <c r="W871" s="91">
        <f t="shared" si="501"/>
        <v>371426.8</v>
      </c>
      <c r="X871" s="94">
        <f>SUM(G871:W871)</f>
        <v>3680027941.1597629</v>
      </c>
      <c r="Y871" s="87" t="str">
        <f t="shared" si="498"/>
        <v>ok</v>
      </c>
      <c r="Z871" s="91" t="str">
        <f t="shared" si="499"/>
        <v/>
      </c>
    </row>
    <row r="872" spans="1:26" ht="12" customHeight="1" x14ac:dyDescent="0.5">
      <c r="A872" s="86" t="s">
        <v>2370</v>
      </c>
      <c r="D872" s="86" t="s">
        <v>2378</v>
      </c>
      <c r="E872" s="86" t="s">
        <v>2377</v>
      </c>
      <c r="F872" s="107">
        <v>1</v>
      </c>
      <c r="G872" s="106">
        <f t="shared" ref="G872:W872" si="503">IF(VLOOKUP($E872,$D$5:$AK$997,3,)=0,0,(VLOOKUP($E872,$D$5:$AK$997,G$1,)/VLOOKUP($E872,$D$5:$AK$997,3,))*$F872)</f>
        <v>0.40958255595565923</v>
      </c>
      <c r="H872" s="106">
        <f t="shared" si="503"/>
        <v>4.182900631531415E-4</v>
      </c>
      <c r="I872" s="106">
        <f t="shared" si="503"/>
        <v>0.11043099113156844</v>
      </c>
      <c r="J872" s="106">
        <f t="shared" si="503"/>
        <v>7.0860550455103541E-3</v>
      </c>
      <c r="K872" s="106">
        <f t="shared" si="503"/>
        <v>0.10298131959958476</v>
      </c>
      <c r="L872" s="106">
        <f t="shared" si="503"/>
        <v>4.474042134153782E-3</v>
      </c>
      <c r="M872" s="106">
        <f t="shared" si="503"/>
        <v>9.9039863061301123E-2</v>
      </c>
      <c r="N872" s="106">
        <f t="shared" si="503"/>
        <v>0.1813034304149545</v>
      </c>
      <c r="O872" s="106">
        <f t="shared" si="503"/>
        <v>5.901699593801478E-2</v>
      </c>
      <c r="P872" s="106">
        <f t="shared" si="503"/>
        <v>2.4438856816887566E-2</v>
      </c>
      <c r="Q872" s="106">
        <f t="shared" si="503"/>
        <v>1.5929388247410298E-4</v>
      </c>
      <c r="R872" s="106">
        <f t="shared" si="503"/>
        <v>5.7956017710992848E-6</v>
      </c>
      <c r="S872" s="106">
        <f t="shared" si="503"/>
        <v>9.4771306404018481E-5</v>
      </c>
      <c r="T872" s="106">
        <f t="shared" si="503"/>
        <v>1.219868944416914E-5</v>
      </c>
      <c r="U872" s="106">
        <f t="shared" si="503"/>
        <v>8.2489331906338246E-7</v>
      </c>
      <c r="V872" s="106">
        <f t="shared" si="503"/>
        <v>8.5378503648257946E-4</v>
      </c>
      <c r="W872" s="106">
        <f t="shared" si="503"/>
        <v>1.0093042931705148E-4</v>
      </c>
      <c r="X872" s="98">
        <f>SUM(G872:W872)</f>
        <v>0.99999999999999967</v>
      </c>
      <c r="Y872" s="87" t="str">
        <f t="shared" si="498"/>
        <v>ok</v>
      </c>
      <c r="Z872" s="91" t="str">
        <f t="shared" si="499"/>
        <v/>
      </c>
    </row>
    <row r="873" spans="1:26" ht="12" customHeight="1" x14ac:dyDescent="0.5">
      <c r="F873" s="107"/>
      <c r="G873" s="106"/>
      <c r="H873" s="106"/>
      <c r="I873" s="106"/>
      <c r="J873" s="106"/>
      <c r="K873" s="106"/>
      <c r="L873" s="106"/>
      <c r="M873" s="106"/>
      <c r="N873" s="106"/>
      <c r="O873" s="106"/>
      <c r="P873" s="106"/>
      <c r="Q873" s="106"/>
      <c r="R873" s="106"/>
      <c r="S873" s="106"/>
      <c r="T873" s="106"/>
      <c r="U873" s="106"/>
      <c r="V873" s="106"/>
      <c r="W873" s="106"/>
      <c r="Y873" s="87"/>
    </row>
    <row r="874" spans="1:26" ht="12" customHeight="1" x14ac:dyDescent="0.5">
      <c r="A874" s="86" t="s">
        <v>2379</v>
      </c>
      <c r="D874" s="86" t="s">
        <v>2384</v>
      </c>
      <c r="F874" s="90">
        <f>F857</f>
        <v>2463594.9027471254</v>
      </c>
      <c r="G874" s="90">
        <f t="shared" ref="G874:W874" si="504">G857</f>
        <v>1010009.7690536255</v>
      </c>
      <c r="H874" s="90">
        <f t="shared" ref="H874" si="505">H857</f>
        <v>1031.482039309476</v>
      </c>
      <c r="I874" s="90">
        <f t="shared" si="504"/>
        <v>272317.21231124201</v>
      </c>
      <c r="J874" s="90">
        <f t="shared" si="504"/>
        <v>17473.851647119453</v>
      </c>
      <c r="K874" s="90">
        <f t="shared" si="504"/>
        <v>253946.70088653482</v>
      </c>
      <c r="L874" s="90">
        <f t="shared" si="504"/>
        <v>11032.760543498471</v>
      </c>
      <c r="M874" s="90">
        <f t="shared" si="504"/>
        <v>244227.26935782068</v>
      </c>
      <c r="N874" s="90">
        <f t="shared" si="504"/>
        <v>447085.04602882155</v>
      </c>
      <c r="O874" s="90">
        <f t="shared" si="504"/>
        <v>145532.91289106099</v>
      </c>
      <c r="P874" s="90">
        <f t="shared" si="504"/>
        <v>60264.978990539406</v>
      </c>
      <c r="Q874" s="90">
        <f t="shared" si="504"/>
        <v>392.81061927535228</v>
      </c>
      <c r="R874" s="90">
        <f t="shared" si="504"/>
        <v>14.291659449941212</v>
      </c>
      <c r="S874" s="90">
        <f t="shared" si="504"/>
        <v>233.70122555804252</v>
      </c>
      <c r="T874" s="90">
        <f t="shared" si="504"/>
        <v>30.081348263269305</v>
      </c>
      <c r="U874" s="90">
        <f t="shared" si="504"/>
        <v>2.0341450058514727</v>
      </c>
      <c r="V874" s="90">
        <f t="shared" si="504"/>
        <v>0</v>
      </c>
      <c r="W874" s="90">
        <f t="shared" si="504"/>
        <v>0</v>
      </c>
      <c r="X874" s="94">
        <f>SUM(G874:W874)</f>
        <v>2463594.9027471254</v>
      </c>
      <c r="Y874" s="87" t="str">
        <f t="shared" ref="Y874:Y879" si="506">IF(ABS(F874-X874)&lt;0.01,"ok","err")</f>
        <v>ok</v>
      </c>
      <c r="Z874" s="91" t="str">
        <f t="shared" ref="Z874:Z879" si="507">IF(Y874="err",X874-F874,"")</f>
        <v/>
      </c>
    </row>
    <row r="875" spans="1:26" ht="12" customHeight="1" x14ac:dyDescent="0.5">
      <c r="A875" s="86" t="s">
        <v>2380</v>
      </c>
      <c r="F875" s="91">
        <f>F123</f>
        <v>2975438420.0715351</v>
      </c>
      <c r="G875" s="90"/>
      <c r="H875" s="90"/>
      <c r="I875" s="90"/>
      <c r="J875" s="90"/>
      <c r="K875" s="90"/>
      <c r="L875" s="90"/>
      <c r="M875" s="90"/>
      <c r="N875" s="90"/>
      <c r="O875" s="90"/>
      <c r="P875" s="90"/>
      <c r="Q875" s="90"/>
      <c r="R875" s="90"/>
      <c r="S875" s="90"/>
      <c r="T875" s="90"/>
      <c r="U875" s="90"/>
      <c r="V875" s="90"/>
      <c r="W875" s="90"/>
      <c r="X875" s="94">
        <f>F875</f>
        <v>2975438420.0715351</v>
      </c>
      <c r="Y875" s="87" t="str">
        <f t="shared" si="506"/>
        <v>ok</v>
      </c>
      <c r="Z875" s="91" t="str">
        <f t="shared" si="507"/>
        <v/>
      </c>
    </row>
    <row r="876" spans="1:26" ht="12" customHeight="1" x14ac:dyDescent="0.5">
      <c r="A876" s="86" t="s">
        <v>849</v>
      </c>
      <c r="F876" s="91">
        <v>2867903.8000000007</v>
      </c>
      <c r="G876" s="91"/>
      <c r="H876" s="91"/>
      <c r="I876" s="91"/>
      <c r="J876" s="91"/>
      <c r="K876" s="91"/>
      <c r="L876" s="91"/>
      <c r="M876" s="91"/>
      <c r="N876" s="91"/>
      <c r="O876" s="91"/>
      <c r="P876" s="91"/>
      <c r="Q876" s="91"/>
      <c r="R876" s="91"/>
      <c r="S876" s="91"/>
      <c r="T876" s="91"/>
      <c r="U876" s="91"/>
      <c r="V876" s="91">
        <f>V869-220020.59-(V862/($V$862+$W$862))*386829</f>
        <v>2576969.3631635425</v>
      </c>
      <c r="W876" s="91">
        <f>W869-38626.2-(W862/($V$862+$W$862))*386829</f>
        <v>290934.43683645804</v>
      </c>
      <c r="X876" s="94">
        <f>SUM(G876:W876)</f>
        <v>2867903.8000000007</v>
      </c>
      <c r="Y876" s="87" t="str">
        <f t="shared" si="506"/>
        <v>ok</v>
      </c>
      <c r="Z876" s="91" t="str">
        <f t="shared" si="507"/>
        <v/>
      </c>
    </row>
    <row r="877" spans="1:26" ht="12" customHeight="1" x14ac:dyDescent="0.5">
      <c r="A877" s="86" t="s">
        <v>2381</v>
      </c>
      <c r="E877" s="86" t="s">
        <v>2384</v>
      </c>
      <c r="F877" s="91">
        <f>F875-F876</f>
        <v>2972570516.2715349</v>
      </c>
      <c r="G877" s="89">
        <f t="shared" ref="G877:W877" si="508">IF(VLOOKUP($E877,$D$5:$AK$997,3,)=0,0,(VLOOKUP($E877,$D$5:$AK$997,G$1,)/VLOOKUP($E877,$D$5:$AK$997,3,))*$F877)</f>
        <v>1218676519.1335526</v>
      </c>
      <c r="H877" s="89">
        <f t="shared" si="508"/>
        <v>1244584.9334628652</v>
      </c>
      <c r="I877" s="89">
        <f t="shared" si="508"/>
        <v>328577606.44293022</v>
      </c>
      <c r="J877" s="89">
        <f t="shared" si="508"/>
        <v>21083927.456583828</v>
      </c>
      <c r="K877" s="89">
        <f t="shared" si="508"/>
        <v>306411770.42458898</v>
      </c>
      <c r="L877" s="89">
        <f t="shared" si="508"/>
        <v>13312115.0186329</v>
      </c>
      <c r="M877" s="89">
        <f t="shared" si="508"/>
        <v>294684316.54612917</v>
      </c>
      <c r="N877" s="89">
        <f t="shared" si="508"/>
        <v>539452255.16144478</v>
      </c>
      <c r="O877" s="89">
        <f t="shared" si="508"/>
        <v>175599829.95771211</v>
      </c>
      <c r="P877" s="89">
        <f t="shared" si="508"/>
        <v>72715647.97899279</v>
      </c>
      <c r="Q877" s="89">
        <f t="shared" si="508"/>
        <v>473964.79998973641</v>
      </c>
      <c r="R877" s="89">
        <f t="shared" si="508"/>
        <v>17244.298347149714</v>
      </c>
      <c r="S877" s="89">
        <f t="shared" si="508"/>
        <v>281983.60531421646</v>
      </c>
      <c r="T877" s="89">
        <f t="shared" si="508"/>
        <v>36296.117043179584</v>
      </c>
      <c r="U877" s="89">
        <f t="shared" si="508"/>
        <v>2454.3968099108101</v>
      </c>
      <c r="V877" s="89">
        <f t="shared" si="508"/>
        <v>0</v>
      </c>
      <c r="W877" s="89">
        <f t="shared" si="508"/>
        <v>0</v>
      </c>
      <c r="X877" s="94">
        <f>SUM(G877:W877)</f>
        <v>2972570516.271534</v>
      </c>
      <c r="Y877" s="87" t="str">
        <f t="shared" si="506"/>
        <v>ok</v>
      </c>
      <c r="Z877" s="91" t="str">
        <f t="shared" si="507"/>
        <v/>
      </c>
    </row>
    <row r="878" spans="1:26" ht="12" customHeight="1" x14ac:dyDescent="0.5">
      <c r="A878" s="86" t="s">
        <v>2382</v>
      </c>
      <c r="D878" s="86" t="s">
        <v>2385</v>
      </c>
      <c r="F878" s="91">
        <f t="shared" ref="F878:W878" si="509">F876+F877</f>
        <v>2975438420.0715351</v>
      </c>
      <c r="G878" s="91">
        <f t="shared" si="509"/>
        <v>1218676519.1335526</v>
      </c>
      <c r="H878" s="91">
        <f t="shared" ref="H878" si="510">H876+H877</f>
        <v>1244584.9334628652</v>
      </c>
      <c r="I878" s="91">
        <f t="shared" si="509"/>
        <v>328577606.44293022</v>
      </c>
      <c r="J878" s="91">
        <f t="shared" si="509"/>
        <v>21083927.456583828</v>
      </c>
      <c r="K878" s="91">
        <f t="shared" si="509"/>
        <v>306411770.42458898</v>
      </c>
      <c r="L878" s="91">
        <f t="shared" si="509"/>
        <v>13312115.0186329</v>
      </c>
      <c r="M878" s="91">
        <f t="shared" si="509"/>
        <v>294684316.54612917</v>
      </c>
      <c r="N878" s="91">
        <f t="shared" si="509"/>
        <v>539452255.16144478</v>
      </c>
      <c r="O878" s="91">
        <f t="shared" si="509"/>
        <v>175599829.95771211</v>
      </c>
      <c r="P878" s="91">
        <f t="shared" si="509"/>
        <v>72715647.97899279</v>
      </c>
      <c r="Q878" s="91">
        <f t="shared" si="509"/>
        <v>473964.79998973641</v>
      </c>
      <c r="R878" s="91">
        <f t="shared" si="509"/>
        <v>17244.298347149714</v>
      </c>
      <c r="S878" s="91">
        <f t="shared" si="509"/>
        <v>281983.60531421646</v>
      </c>
      <c r="T878" s="91">
        <f t="shared" si="509"/>
        <v>36296.117043179584</v>
      </c>
      <c r="U878" s="91">
        <f t="shared" si="509"/>
        <v>2454.3968099108101</v>
      </c>
      <c r="V878" s="91">
        <f t="shared" si="509"/>
        <v>2576969.3631635425</v>
      </c>
      <c r="W878" s="91">
        <f t="shared" si="509"/>
        <v>290934.43683645804</v>
      </c>
      <c r="X878" s="94">
        <f>SUM(G878:W878)</f>
        <v>2975438420.0715337</v>
      </c>
      <c r="Y878" s="87" t="str">
        <f t="shared" si="506"/>
        <v>ok</v>
      </c>
      <c r="Z878" s="91" t="str">
        <f t="shared" si="507"/>
        <v/>
      </c>
    </row>
    <row r="879" spans="1:26" ht="12" customHeight="1" x14ac:dyDescent="0.5">
      <c r="A879" s="86" t="s">
        <v>2383</v>
      </c>
      <c r="D879" s="86" t="s">
        <v>2386</v>
      </c>
      <c r="E879" s="86" t="s">
        <v>2385</v>
      </c>
      <c r="F879" s="107">
        <v>1</v>
      </c>
      <c r="G879" s="106">
        <f t="shared" ref="G879:W879" si="511">IF(VLOOKUP($E879,$D$5:$AK$997,3,)=0,0,(VLOOKUP($E879,$D$5:$AK$997,G$1,)/VLOOKUP($E879,$D$5:$AK$997,3,))*$F879)</f>
        <v>0.40957880724826201</v>
      </c>
      <c r="H879" s="106">
        <f t="shared" si="511"/>
        <v>4.1828623475021978E-4</v>
      </c>
      <c r="I879" s="106">
        <f t="shared" si="511"/>
        <v>0.11042998041109875</v>
      </c>
      <c r="J879" s="106">
        <f t="shared" si="511"/>
        <v>7.0859901903387165E-3</v>
      </c>
      <c r="K879" s="106">
        <f t="shared" si="511"/>
        <v>0.10298037706228928</v>
      </c>
      <c r="L879" s="106">
        <f t="shared" si="511"/>
        <v>4.474001185449791E-3</v>
      </c>
      <c r="M879" s="106">
        <f t="shared" si="511"/>
        <v>9.9038956598216002E-2</v>
      </c>
      <c r="N879" s="106">
        <f t="shared" si="511"/>
        <v>0.18130177103395584</v>
      </c>
      <c r="O879" s="106">
        <f t="shared" si="511"/>
        <v>5.9016455784519431E-2</v>
      </c>
      <c r="P879" s="106">
        <f t="shared" si="511"/>
        <v>2.4438633140068337E-2</v>
      </c>
      <c r="Q879" s="106">
        <f t="shared" si="511"/>
        <v>1.5929242453565596E-4</v>
      </c>
      <c r="R879" s="106">
        <f t="shared" si="511"/>
        <v>5.7955487268108636E-6</v>
      </c>
      <c r="S879" s="106">
        <f t="shared" si="511"/>
        <v>9.4770439008930001E-5</v>
      </c>
      <c r="T879" s="106">
        <f t="shared" si="511"/>
        <v>1.2198577795573049E-5</v>
      </c>
      <c r="U879" s="106">
        <f t="shared" si="511"/>
        <v>8.2488576922112936E-7</v>
      </c>
      <c r="V879" s="106">
        <f t="shared" si="511"/>
        <v>8.6608055666014666E-4</v>
      </c>
      <c r="W879" s="106">
        <f t="shared" si="511"/>
        <v>9.7778678555029017E-5</v>
      </c>
      <c r="X879" s="98">
        <f>SUM(G879:W879)</f>
        <v>0.99999999999999978</v>
      </c>
      <c r="Y879" s="87" t="str">
        <f t="shared" si="506"/>
        <v>ok</v>
      </c>
      <c r="Z879" s="91" t="str">
        <f t="shared" si="507"/>
        <v/>
      </c>
    </row>
    <row r="880" spans="1:26" ht="12" customHeight="1" x14ac:dyDescent="0.5">
      <c r="F880" s="107"/>
      <c r="G880" s="106"/>
      <c r="H880" s="106"/>
      <c r="I880" s="106"/>
      <c r="J880" s="106"/>
      <c r="K880" s="106"/>
      <c r="L880" s="106"/>
      <c r="M880" s="106"/>
      <c r="N880" s="106"/>
      <c r="O880" s="106"/>
      <c r="P880" s="106"/>
      <c r="Q880" s="106"/>
      <c r="R880" s="106"/>
      <c r="S880" s="106"/>
      <c r="T880" s="106"/>
      <c r="U880" s="106"/>
      <c r="V880" s="106"/>
      <c r="W880" s="106"/>
      <c r="X880" s="98"/>
      <c r="Y880" s="87"/>
      <c r="Z880" s="91"/>
    </row>
    <row r="881" spans="1:26" ht="12" customHeight="1" x14ac:dyDescent="0.5">
      <c r="A881" s="86" t="s">
        <v>2387</v>
      </c>
      <c r="D881" s="86" t="s">
        <v>2402</v>
      </c>
      <c r="F881" s="90">
        <f>F857</f>
        <v>2463594.9027471254</v>
      </c>
      <c r="G881" s="90">
        <f t="shared" ref="G881:W881" si="512">G857</f>
        <v>1010009.7690536255</v>
      </c>
      <c r="H881" s="90">
        <f t="shared" ref="H881" si="513">H857</f>
        <v>1031.482039309476</v>
      </c>
      <c r="I881" s="90">
        <f t="shared" si="512"/>
        <v>272317.21231124201</v>
      </c>
      <c r="J881" s="90">
        <f t="shared" si="512"/>
        <v>17473.851647119453</v>
      </c>
      <c r="K881" s="90">
        <f t="shared" si="512"/>
        <v>253946.70088653482</v>
      </c>
      <c r="L881" s="90">
        <f t="shared" si="512"/>
        <v>11032.760543498471</v>
      </c>
      <c r="M881" s="90">
        <f t="shared" si="512"/>
        <v>244227.26935782068</v>
      </c>
      <c r="N881" s="90">
        <f t="shared" si="512"/>
        <v>447085.04602882155</v>
      </c>
      <c r="O881" s="90">
        <f t="shared" si="512"/>
        <v>145532.91289106099</v>
      </c>
      <c r="P881" s="90">
        <f t="shared" si="512"/>
        <v>60264.978990539406</v>
      </c>
      <c r="Q881" s="90">
        <f t="shared" si="512"/>
        <v>392.81061927535228</v>
      </c>
      <c r="R881" s="90">
        <f t="shared" si="512"/>
        <v>14.291659449941212</v>
      </c>
      <c r="S881" s="90">
        <f t="shared" si="512"/>
        <v>233.70122555804252</v>
      </c>
      <c r="T881" s="90">
        <f t="shared" si="512"/>
        <v>30.081348263269305</v>
      </c>
      <c r="U881" s="90">
        <f t="shared" si="512"/>
        <v>2.0341450058514727</v>
      </c>
      <c r="V881" s="90">
        <f t="shared" si="512"/>
        <v>0</v>
      </c>
      <c r="W881" s="90">
        <f t="shared" si="512"/>
        <v>0</v>
      </c>
      <c r="X881" s="94">
        <f>SUM(G881:W881)</f>
        <v>2463594.9027471254</v>
      </c>
      <c r="Y881" s="87" t="str">
        <f t="shared" ref="Y881:Y886" si="514">IF(ABS(F881-X881)&lt;0.01,"ok","err")</f>
        <v>ok</v>
      </c>
      <c r="Z881" s="91" t="str">
        <f t="shared" ref="Z881:Z886" si="515">IF(Y881="err",X881-F881,"")</f>
        <v/>
      </c>
    </row>
    <row r="882" spans="1:26" ht="12" customHeight="1" x14ac:dyDescent="0.5">
      <c r="A882" s="86" t="s">
        <v>2388</v>
      </c>
      <c r="F882" s="91">
        <f>F180</f>
        <v>133195931.14461496</v>
      </c>
      <c r="G882" s="90"/>
      <c r="H882" s="90"/>
      <c r="I882" s="90"/>
      <c r="J882" s="90"/>
      <c r="K882" s="90"/>
      <c r="L882" s="90"/>
      <c r="M882" s="90"/>
      <c r="N882" s="90"/>
      <c r="O882" s="90"/>
      <c r="P882" s="90"/>
      <c r="Q882" s="90"/>
      <c r="R882" s="90"/>
      <c r="S882" s="90"/>
      <c r="T882" s="90"/>
      <c r="U882" s="90"/>
      <c r="V882" s="90"/>
      <c r="W882" s="90">
        <f>W879</f>
        <v>9.7778678555029017E-5</v>
      </c>
      <c r="X882" s="94">
        <f>F882</f>
        <v>133195931.14461496</v>
      </c>
      <c r="Y882" s="87" t="str">
        <f t="shared" si="514"/>
        <v>ok</v>
      </c>
      <c r="Z882" s="91" t="str">
        <f t="shared" si="515"/>
        <v/>
      </c>
    </row>
    <row r="883" spans="1:26" ht="12" customHeight="1" x14ac:dyDescent="0.5">
      <c r="A883" s="86" t="s">
        <v>849</v>
      </c>
      <c r="F883" s="91">
        <v>91514</v>
      </c>
      <c r="G883" s="91"/>
      <c r="H883" s="91"/>
      <c r="I883" s="91"/>
      <c r="J883" s="91"/>
      <c r="K883" s="91"/>
      <c r="L883" s="91"/>
      <c r="M883" s="91"/>
      <c r="N883" s="91"/>
      <c r="O883" s="91"/>
      <c r="P883" s="91"/>
      <c r="Q883" s="91"/>
      <c r="R883" s="91"/>
      <c r="S883" s="91"/>
      <c r="T883" s="91"/>
      <c r="U883" s="91"/>
      <c r="V883" s="91">
        <f>91514</f>
        <v>91514</v>
      </c>
      <c r="W883" s="91"/>
      <c r="X883" s="94">
        <f>SUM(G883:W883)</f>
        <v>91514</v>
      </c>
      <c r="Y883" s="87" t="str">
        <f t="shared" si="514"/>
        <v>ok</v>
      </c>
      <c r="Z883" s="91" t="str">
        <f t="shared" si="515"/>
        <v/>
      </c>
    </row>
    <row r="884" spans="1:26" ht="12" customHeight="1" x14ac:dyDescent="0.5">
      <c r="A884" s="86" t="s">
        <v>2389</v>
      </c>
      <c r="E884" s="86" t="s">
        <v>2402</v>
      </c>
      <c r="F884" s="91">
        <f>F882-F883</f>
        <v>133104417.14461496</v>
      </c>
      <c r="G884" s="89">
        <f t="shared" ref="G884:W884" si="516">IF(VLOOKUP($E884,$D$5:$AK$997,3,)=0,0,(VLOOKUP($E884,$D$5:$AK$997,G$1,)/VLOOKUP($E884,$D$5:$AK$997,3,))*$F884)</f>
        <v>54569345.581264667</v>
      </c>
      <c r="H884" s="89">
        <f t="shared" si="516"/>
        <v>55729.46083153964</v>
      </c>
      <c r="I884" s="89">
        <f t="shared" si="516"/>
        <v>14712899.341817949</v>
      </c>
      <c r="J884" s="89">
        <f t="shared" si="516"/>
        <v>944086.56072789431</v>
      </c>
      <c r="K884" s="89">
        <f t="shared" si="516"/>
        <v>13720367.569200814</v>
      </c>
      <c r="L884" s="89">
        <f t="shared" si="516"/>
        <v>596083.86102802539</v>
      </c>
      <c r="M884" s="89">
        <f t="shared" si="516"/>
        <v>13195240.947464464</v>
      </c>
      <c r="N884" s="89">
        <f t="shared" si="516"/>
        <v>24155348.916894525</v>
      </c>
      <c r="O884" s="89">
        <f t="shared" si="516"/>
        <v>7862929.7065529078</v>
      </c>
      <c r="P884" s="89">
        <f t="shared" si="516"/>
        <v>3256028.3729372453</v>
      </c>
      <c r="Q884" s="89">
        <f t="shared" si="516"/>
        <v>21222.981289886106</v>
      </c>
      <c r="R884" s="89">
        <f t="shared" si="516"/>
        <v>772.15738634324191</v>
      </c>
      <c r="S884" s="89">
        <f t="shared" si="516"/>
        <v>12626.534248467056</v>
      </c>
      <c r="T884" s="89">
        <f t="shared" si="516"/>
        <v>1625.2511007560001</v>
      </c>
      <c r="U884" s="89">
        <f t="shared" si="516"/>
        <v>109.90186945490733</v>
      </c>
      <c r="V884" s="89">
        <f t="shared" si="516"/>
        <v>0</v>
      </c>
      <c r="W884" s="89">
        <f t="shared" si="516"/>
        <v>0</v>
      </c>
      <c r="X884" s="94">
        <f>SUM(G884:W884)</f>
        <v>133104417.14461496</v>
      </c>
      <c r="Y884" s="87" t="str">
        <f t="shared" si="514"/>
        <v>ok</v>
      </c>
      <c r="Z884" s="91" t="str">
        <f t="shared" si="515"/>
        <v/>
      </c>
    </row>
    <row r="885" spans="1:26" ht="12" customHeight="1" x14ac:dyDescent="0.5">
      <c r="A885" s="86" t="s">
        <v>2390</v>
      </c>
      <c r="D885" s="86" t="s">
        <v>2403</v>
      </c>
      <c r="F885" s="91">
        <f t="shared" ref="F885:W885" si="517">F883+F884</f>
        <v>133195931.14461496</v>
      </c>
      <c r="G885" s="91">
        <f t="shared" si="517"/>
        <v>54569345.581264667</v>
      </c>
      <c r="H885" s="91">
        <f t="shared" ref="H885" si="518">H883+H884</f>
        <v>55729.46083153964</v>
      </c>
      <c r="I885" s="91">
        <f t="shared" si="517"/>
        <v>14712899.341817949</v>
      </c>
      <c r="J885" s="91">
        <f t="shared" si="517"/>
        <v>944086.56072789431</v>
      </c>
      <c r="K885" s="91">
        <f t="shared" si="517"/>
        <v>13720367.569200814</v>
      </c>
      <c r="L885" s="91">
        <f t="shared" si="517"/>
        <v>596083.86102802539</v>
      </c>
      <c r="M885" s="91">
        <f t="shared" si="517"/>
        <v>13195240.947464464</v>
      </c>
      <c r="N885" s="91">
        <f t="shared" si="517"/>
        <v>24155348.916894525</v>
      </c>
      <c r="O885" s="91">
        <f t="shared" si="517"/>
        <v>7862929.7065529078</v>
      </c>
      <c r="P885" s="91">
        <f t="shared" si="517"/>
        <v>3256028.3729372453</v>
      </c>
      <c r="Q885" s="91">
        <f t="shared" si="517"/>
        <v>21222.981289886106</v>
      </c>
      <c r="R885" s="91">
        <f t="shared" si="517"/>
        <v>772.15738634324191</v>
      </c>
      <c r="S885" s="91">
        <f t="shared" si="517"/>
        <v>12626.534248467056</v>
      </c>
      <c r="T885" s="91">
        <f t="shared" si="517"/>
        <v>1625.2511007560001</v>
      </c>
      <c r="U885" s="91">
        <f t="shared" si="517"/>
        <v>109.90186945490733</v>
      </c>
      <c r="V885" s="91">
        <f t="shared" si="517"/>
        <v>91514</v>
      </c>
      <c r="W885" s="91">
        <f t="shared" si="517"/>
        <v>0</v>
      </c>
      <c r="X885" s="94">
        <f>SUM(G885:W885)</f>
        <v>133195931.14461496</v>
      </c>
      <c r="Y885" s="87" t="str">
        <f t="shared" si="514"/>
        <v>ok</v>
      </c>
      <c r="Z885" s="91" t="str">
        <f t="shared" si="515"/>
        <v/>
      </c>
    </row>
    <row r="886" spans="1:26" ht="12" customHeight="1" x14ac:dyDescent="0.5">
      <c r="A886" s="86" t="s">
        <v>2391</v>
      </c>
      <c r="D886" s="86" t="s">
        <v>2404</v>
      </c>
      <c r="E886" s="86" t="s">
        <v>2403</v>
      </c>
      <c r="F886" s="107">
        <v>1</v>
      </c>
      <c r="G886" s="106">
        <f t="shared" ref="G886:W886" si="519">IF(VLOOKUP($E886,$D$5:$AK$997,3,)=0,0,(VLOOKUP($E886,$D$5:$AK$997,G$1,)/VLOOKUP($E886,$D$5:$AK$997,3,))*$F886)</f>
        <v>0.40969228648596656</v>
      </c>
      <c r="H886" s="106">
        <f t="shared" si="519"/>
        <v>4.184021264961347E-4</v>
      </c>
      <c r="I886" s="106">
        <f t="shared" si="519"/>
        <v>0.11046057650097206</v>
      </c>
      <c r="J886" s="106">
        <f t="shared" si="519"/>
        <v>7.0879534578490253E-3</v>
      </c>
      <c r="K886" s="106">
        <f t="shared" si="519"/>
        <v>0.10300890914080689</v>
      </c>
      <c r="L886" s="106">
        <f t="shared" si="519"/>
        <v>4.4752407667831727E-3</v>
      </c>
      <c r="M886" s="106">
        <f t="shared" si="519"/>
        <v>9.9066396653948688E-2</v>
      </c>
      <c r="N886" s="106">
        <f t="shared" si="519"/>
        <v>0.18135200309285959</v>
      </c>
      <c r="O886" s="106">
        <f t="shared" si="519"/>
        <v>5.903280707588493E-2</v>
      </c>
      <c r="P886" s="106">
        <f t="shared" si="519"/>
        <v>2.4445404187325166E-2</v>
      </c>
      <c r="Q886" s="106">
        <f t="shared" si="519"/>
        <v>1.5933655861336826E-4</v>
      </c>
      <c r="R886" s="106">
        <f t="shared" si="519"/>
        <v>5.7971544604083035E-6</v>
      </c>
      <c r="S886" s="106">
        <f t="shared" si="519"/>
        <v>9.4796696415283397E-5</v>
      </c>
      <c r="T886" s="106">
        <f t="shared" si="519"/>
        <v>1.22019575732491E-5</v>
      </c>
      <c r="U886" s="106">
        <f t="shared" si="519"/>
        <v>8.2511431475773427E-7</v>
      </c>
      <c r="V886" s="106">
        <f t="shared" si="519"/>
        <v>6.8706302973054335E-4</v>
      </c>
      <c r="W886" s="106">
        <f t="shared" si="519"/>
        <v>0</v>
      </c>
      <c r="X886" s="98">
        <f>SUM(G886:W886)</f>
        <v>0.99999999999999978</v>
      </c>
      <c r="Y886" s="87" t="str">
        <f t="shared" si="514"/>
        <v>ok</v>
      </c>
      <c r="Z886" s="91" t="str">
        <f t="shared" si="515"/>
        <v/>
      </c>
    </row>
    <row r="887" spans="1:26" ht="12" customHeight="1" x14ac:dyDescent="0.5">
      <c r="F887" s="107"/>
      <c r="G887" s="106"/>
      <c r="H887" s="106"/>
      <c r="I887" s="106"/>
      <c r="J887" s="106"/>
      <c r="K887" s="106"/>
      <c r="L887" s="106"/>
      <c r="M887" s="106"/>
      <c r="N887" s="106"/>
      <c r="O887" s="106"/>
      <c r="P887" s="106"/>
      <c r="Q887" s="106"/>
      <c r="R887" s="106"/>
      <c r="S887" s="106"/>
      <c r="T887" s="106"/>
      <c r="U887" s="106"/>
      <c r="V887" s="106"/>
      <c r="W887" s="106"/>
      <c r="X887" s="98"/>
      <c r="Y887" s="87"/>
      <c r="Z887" s="91"/>
    </row>
    <row r="888" spans="1:26" ht="12" customHeight="1" x14ac:dyDescent="0.5">
      <c r="A888" s="86" t="s">
        <v>2392</v>
      </c>
      <c r="D888" s="86" t="s">
        <v>2405</v>
      </c>
      <c r="F888" s="90">
        <f>F857</f>
        <v>2463594.9027471254</v>
      </c>
      <c r="G888" s="90">
        <f t="shared" ref="G888:W888" si="520">G857</f>
        <v>1010009.7690536255</v>
      </c>
      <c r="H888" s="90">
        <f t="shared" ref="H888" si="521">H857</f>
        <v>1031.482039309476</v>
      </c>
      <c r="I888" s="90">
        <f t="shared" si="520"/>
        <v>272317.21231124201</v>
      </c>
      <c r="J888" s="90">
        <f t="shared" si="520"/>
        <v>17473.851647119453</v>
      </c>
      <c r="K888" s="90">
        <f t="shared" si="520"/>
        <v>253946.70088653482</v>
      </c>
      <c r="L888" s="90">
        <f t="shared" si="520"/>
        <v>11032.760543498471</v>
      </c>
      <c r="M888" s="90">
        <f t="shared" si="520"/>
        <v>244227.26935782068</v>
      </c>
      <c r="N888" s="90">
        <f t="shared" si="520"/>
        <v>447085.04602882155</v>
      </c>
      <c r="O888" s="90">
        <f t="shared" si="520"/>
        <v>145532.91289106099</v>
      </c>
      <c r="P888" s="90">
        <f t="shared" si="520"/>
        <v>60264.978990539406</v>
      </c>
      <c r="Q888" s="90">
        <f t="shared" si="520"/>
        <v>392.81061927535228</v>
      </c>
      <c r="R888" s="90">
        <f t="shared" si="520"/>
        <v>14.291659449941212</v>
      </c>
      <c r="S888" s="90">
        <f t="shared" si="520"/>
        <v>233.70122555804252</v>
      </c>
      <c r="T888" s="90">
        <f t="shared" si="520"/>
        <v>30.081348263269305</v>
      </c>
      <c r="U888" s="90">
        <f t="shared" si="520"/>
        <v>2.0341450058514727</v>
      </c>
      <c r="V888" s="90">
        <f t="shared" si="520"/>
        <v>0</v>
      </c>
      <c r="W888" s="90">
        <f t="shared" si="520"/>
        <v>0</v>
      </c>
      <c r="X888" s="94">
        <f>SUM(G888:W888)</f>
        <v>2463594.9027471254</v>
      </c>
      <c r="Y888" s="87" t="str">
        <f t="shared" ref="Y888:Y893" si="522">IF(ABS(F888-X888)&lt;0.01,"ok","err")</f>
        <v>ok</v>
      </c>
      <c r="Z888" s="91" t="str">
        <f t="shared" ref="Z888:Z893" si="523">IF(Y888="err",X888-F888,"")</f>
        <v/>
      </c>
    </row>
    <row r="889" spans="1:26" ht="12" customHeight="1" x14ac:dyDescent="0.5">
      <c r="A889" s="86" t="s">
        <v>2393</v>
      </c>
      <c r="F889" s="91">
        <f>F294</f>
        <v>288540355.83999676</v>
      </c>
      <c r="G889" s="90"/>
      <c r="H889" s="90"/>
      <c r="I889" s="90"/>
      <c r="J889" s="90"/>
      <c r="K889" s="90"/>
      <c r="L889" s="90"/>
      <c r="M889" s="90"/>
      <c r="N889" s="90"/>
      <c r="O889" s="90"/>
      <c r="P889" s="90"/>
      <c r="Q889" s="90"/>
      <c r="R889" s="90"/>
      <c r="S889" s="90"/>
      <c r="T889" s="90"/>
      <c r="U889" s="90"/>
      <c r="V889" s="90"/>
      <c r="W889" s="90">
        <f>W886</f>
        <v>0</v>
      </c>
      <c r="X889" s="94">
        <f>F889</f>
        <v>288540355.83999676</v>
      </c>
      <c r="Y889" s="87" t="str">
        <f t="shared" si="522"/>
        <v>ok</v>
      </c>
      <c r="Z889" s="91" t="str">
        <f t="shared" si="523"/>
        <v/>
      </c>
    </row>
    <row r="890" spans="1:26" ht="12" customHeight="1" x14ac:dyDescent="0.5">
      <c r="A890" s="86" t="s">
        <v>849</v>
      </c>
      <c r="F890" s="91">
        <v>120930.99280325</v>
      </c>
      <c r="G890" s="91"/>
      <c r="H890" s="91"/>
      <c r="I890" s="91"/>
      <c r="J890" s="91"/>
      <c r="K890" s="91"/>
      <c r="L890" s="91"/>
      <c r="M890" s="91"/>
      <c r="N890" s="91"/>
      <c r="O890" s="91"/>
      <c r="P890" s="91"/>
      <c r="Q890" s="91"/>
      <c r="R890" s="91"/>
      <c r="S890" s="91"/>
      <c r="T890" s="91"/>
      <c r="U890" s="91"/>
      <c r="V890" s="91">
        <f>106487.13</f>
        <v>106487.13</v>
      </c>
      <c r="W890" s="91">
        <f>14443.86</f>
        <v>14443.86</v>
      </c>
      <c r="X890" s="94">
        <f>SUM(G890:W890)</f>
        <v>120930.99</v>
      </c>
      <c r="Y890" s="87" t="str">
        <f t="shared" si="522"/>
        <v>ok</v>
      </c>
      <c r="Z890" s="91" t="str">
        <f t="shared" si="523"/>
        <v/>
      </c>
    </row>
    <row r="891" spans="1:26" ht="12" customHeight="1" x14ac:dyDescent="0.5">
      <c r="A891" s="86" t="s">
        <v>2394</v>
      </c>
      <c r="E891" s="86" t="s">
        <v>2405</v>
      </c>
      <c r="F891" s="91">
        <f>F889-F890</f>
        <v>288419424.84719348</v>
      </c>
      <c r="G891" s="89">
        <f t="shared" ref="G891:W891" si="524">IF(VLOOKUP($E891,$D$5:$AK$997,3,)=0,0,(VLOOKUP($E891,$D$5:$AK$997,G$1,)/VLOOKUP($E891,$D$5:$AK$997,3,))*$F891)</f>
        <v>118244455.02613318</v>
      </c>
      <c r="H891" s="89">
        <f t="shared" si="524"/>
        <v>120758.26922117398</v>
      </c>
      <c r="I891" s="89">
        <f t="shared" si="524"/>
        <v>31880880.116783291</v>
      </c>
      <c r="J891" s="89">
        <f t="shared" si="524"/>
        <v>2045708.9906735711</v>
      </c>
      <c r="K891" s="89">
        <f t="shared" si="524"/>
        <v>29730196.847648967</v>
      </c>
      <c r="L891" s="89">
        <f t="shared" si="524"/>
        <v>1291633.8018415116</v>
      </c>
      <c r="M891" s="89">
        <f t="shared" si="524"/>
        <v>28592317.869158018</v>
      </c>
      <c r="N891" s="89">
        <f t="shared" si="524"/>
        <v>52341402.26935254</v>
      </c>
      <c r="O891" s="89">
        <f t="shared" si="524"/>
        <v>17037914.385019727</v>
      </c>
      <c r="P891" s="89">
        <f t="shared" si="524"/>
        <v>7055376.9044973953</v>
      </c>
      <c r="Q891" s="89">
        <f t="shared" si="524"/>
        <v>45987.354803719543</v>
      </c>
      <c r="R891" s="89">
        <f t="shared" si="524"/>
        <v>1673.1615226462829</v>
      </c>
      <c r="S891" s="89">
        <f t="shared" si="524"/>
        <v>27360.006706611337</v>
      </c>
      <c r="T891" s="89">
        <f t="shared" si="524"/>
        <v>3521.701215993628</v>
      </c>
      <c r="U891" s="89">
        <f t="shared" si="524"/>
        <v>238.14261508223822</v>
      </c>
      <c r="V891" s="89">
        <f t="shared" si="524"/>
        <v>0</v>
      </c>
      <c r="W891" s="89">
        <f t="shared" si="524"/>
        <v>0</v>
      </c>
      <c r="X891" s="94">
        <f>SUM(G891:W891)</f>
        <v>288419424.84719336</v>
      </c>
      <c r="Y891" s="87" t="str">
        <f t="shared" si="522"/>
        <v>ok</v>
      </c>
      <c r="Z891" s="91" t="str">
        <f t="shared" si="523"/>
        <v/>
      </c>
    </row>
    <row r="892" spans="1:26" ht="12" customHeight="1" x14ac:dyDescent="0.5">
      <c r="A892" s="86" t="s">
        <v>2395</v>
      </c>
      <c r="D892" s="86" t="s">
        <v>2406</v>
      </c>
      <c r="F892" s="91">
        <f t="shared" ref="F892:W892" si="525">F890+F891</f>
        <v>288540355.83999676</v>
      </c>
      <c r="G892" s="91">
        <f t="shared" si="525"/>
        <v>118244455.02613318</v>
      </c>
      <c r="H892" s="91">
        <f t="shared" ref="H892" si="526">H890+H891</f>
        <v>120758.26922117398</v>
      </c>
      <c r="I892" s="91">
        <f t="shared" si="525"/>
        <v>31880880.116783291</v>
      </c>
      <c r="J892" s="91">
        <f t="shared" si="525"/>
        <v>2045708.9906735711</v>
      </c>
      <c r="K892" s="91">
        <f t="shared" si="525"/>
        <v>29730196.847648967</v>
      </c>
      <c r="L892" s="91">
        <f t="shared" si="525"/>
        <v>1291633.8018415116</v>
      </c>
      <c r="M892" s="91">
        <f t="shared" si="525"/>
        <v>28592317.869158018</v>
      </c>
      <c r="N892" s="91">
        <f t="shared" si="525"/>
        <v>52341402.26935254</v>
      </c>
      <c r="O892" s="91">
        <f t="shared" si="525"/>
        <v>17037914.385019727</v>
      </c>
      <c r="P892" s="91">
        <f t="shared" si="525"/>
        <v>7055376.9044973953</v>
      </c>
      <c r="Q892" s="91">
        <f t="shared" si="525"/>
        <v>45987.354803719543</v>
      </c>
      <c r="R892" s="91">
        <f t="shared" si="525"/>
        <v>1673.1615226462829</v>
      </c>
      <c r="S892" s="91">
        <f t="shared" si="525"/>
        <v>27360.006706611337</v>
      </c>
      <c r="T892" s="91">
        <f t="shared" si="525"/>
        <v>3521.701215993628</v>
      </c>
      <c r="U892" s="91">
        <f t="shared" si="525"/>
        <v>238.14261508223822</v>
      </c>
      <c r="V892" s="91">
        <f t="shared" si="525"/>
        <v>106487.13</v>
      </c>
      <c r="W892" s="91">
        <f t="shared" si="525"/>
        <v>14443.86</v>
      </c>
      <c r="X892" s="94">
        <f>SUM(G892:W892)</f>
        <v>288540355.83719337</v>
      </c>
      <c r="Y892" s="87" t="str">
        <f t="shared" si="522"/>
        <v>ok</v>
      </c>
      <c r="Z892" s="91" t="str">
        <f t="shared" si="523"/>
        <v/>
      </c>
    </row>
    <row r="893" spans="1:26" ht="12" customHeight="1" x14ac:dyDescent="0.5">
      <c r="A893" s="86" t="s">
        <v>2396</v>
      </c>
      <c r="D893" s="86" t="s">
        <v>2407</v>
      </c>
      <c r="E893" s="86" t="s">
        <v>2406</v>
      </c>
      <c r="F893" s="107">
        <v>1</v>
      </c>
      <c r="G893" s="106">
        <f t="shared" ref="G893:W893" si="527">IF(VLOOKUP($E893,$D$5:$AK$997,3,)=0,0,(VLOOKUP($E893,$D$5:$AK$997,G$1,)/VLOOKUP($E893,$D$5:$AK$997,3,))*$F893)</f>
        <v>0.40980213905226781</v>
      </c>
      <c r="H893" s="106">
        <f t="shared" si="527"/>
        <v>4.1851431446954208E-4</v>
      </c>
      <c r="I893" s="106">
        <f t="shared" si="527"/>
        <v>0.11049019477352444</v>
      </c>
      <c r="J893" s="106">
        <f t="shared" si="527"/>
        <v>7.0898539814928723E-3</v>
      </c>
      <c r="K893" s="106">
        <f t="shared" si="527"/>
        <v>0.1030365293655323</v>
      </c>
      <c r="L893" s="106">
        <f t="shared" si="527"/>
        <v>4.4764407324629375E-3</v>
      </c>
      <c r="M893" s="106">
        <f t="shared" si="527"/>
        <v>9.9092959755734178E-2</v>
      </c>
      <c r="N893" s="106">
        <f t="shared" si="527"/>
        <v>0.18140062979050747</v>
      </c>
      <c r="O893" s="106">
        <f t="shared" si="527"/>
        <v>5.9048635797994582E-2</v>
      </c>
      <c r="P893" s="106">
        <f t="shared" si="527"/>
        <v>2.4451958839372154E-2</v>
      </c>
      <c r="Q893" s="106">
        <f t="shared" si="527"/>
        <v>1.5937928221458473E-4</v>
      </c>
      <c r="R893" s="106">
        <f t="shared" si="527"/>
        <v>5.7987088765291996E-6</v>
      </c>
      <c r="S893" s="106">
        <f t="shared" si="527"/>
        <v>9.482211466386069E-5</v>
      </c>
      <c r="T893" s="106">
        <f t="shared" si="527"/>
        <v>1.2205229336954532E-5</v>
      </c>
      <c r="U893" s="106">
        <f t="shared" si="527"/>
        <v>8.2533555623080534E-7</v>
      </c>
      <c r="V893" s="106">
        <f t="shared" si="527"/>
        <v>3.6905454590570314E-4</v>
      </c>
      <c r="W893" s="106">
        <f t="shared" si="527"/>
        <v>5.0058370372321517E-5</v>
      </c>
      <c r="X893" s="98">
        <f>SUM(G893:W893)</f>
        <v>0.99999999999028444</v>
      </c>
      <c r="Y893" s="87" t="str">
        <f t="shared" si="522"/>
        <v>ok</v>
      </c>
      <c r="Z893" s="91" t="str">
        <f t="shared" si="523"/>
        <v/>
      </c>
    </row>
    <row r="894" spans="1:26" ht="12" customHeight="1" x14ac:dyDescent="0.5">
      <c r="F894" s="107"/>
      <c r="G894" s="106"/>
      <c r="H894" s="106"/>
      <c r="I894" s="106"/>
      <c r="J894" s="106"/>
      <c r="K894" s="106"/>
      <c r="L894" s="106"/>
      <c r="M894" s="106"/>
      <c r="N894" s="106"/>
      <c r="O894" s="106"/>
      <c r="P894" s="106"/>
      <c r="Q894" s="106"/>
      <c r="R894" s="106"/>
      <c r="S894" s="106"/>
      <c r="T894" s="106"/>
      <c r="U894" s="106"/>
      <c r="V894" s="106"/>
      <c r="W894" s="106"/>
      <c r="X894" s="98"/>
      <c r="Y894" s="87"/>
      <c r="Z894" s="91"/>
    </row>
    <row r="895" spans="1:26" ht="12" customHeight="1" x14ac:dyDescent="0.5">
      <c r="A895" s="86" t="s">
        <v>2397</v>
      </c>
      <c r="D895" s="86" t="s">
        <v>2408</v>
      </c>
      <c r="F895" s="90">
        <f>F857</f>
        <v>2463594.9027471254</v>
      </c>
      <c r="G895" s="90">
        <f t="shared" ref="G895:W895" si="528">G857</f>
        <v>1010009.7690536255</v>
      </c>
      <c r="H895" s="90">
        <f t="shared" ref="H895" si="529">H857</f>
        <v>1031.482039309476</v>
      </c>
      <c r="I895" s="90">
        <f t="shared" si="528"/>
        <v>272317.21231124201</v>
      </c>
      <c r="J895" s="90">
        <f t="shared" si="528"/>
        <v>17473.851647119453</v>
      </c>
      <c r="K895" s="90">
        <f t="shared" si="528"/>
        <v>253946.70088653482</v>
      </c>
      <c r="L895" s="90">
        <f t="shared" si="528"/>
        <v>11032.760543498471</v>
      </c>
      <c r="M895" s="90">
        <f t="shared" si="528"/>
        <v>244227.26935782068</v>
      </c>
      <c r="N895" s="90">
        <f t="shared" si="528"/>
        <v>447085.04602882155</v>
      </c>
      <c r="O895" s="90">
        <f t="shared" si="528"/>
        <v>145532.91289106099</v>
      </c>
      <c r="P895" s="90">
        <f t="shared" si="528"/>
        <v>60264.978990539406</v>
      </c>
      <c r="Q895" s="90">
        <f t="shared" si="528"/>
        <v>392.81061927535228</v>
      </c>
      <c r="R895" s="90">
        <f t="shared" si="528"/>
        <v>14.291659449941212</v>
      </c>
      <c r="S895" s="90">
        <f t="shared" si="528"/>
        <v>233.70122555804252</v>
      </c>
      <c r="T895" s="90">
        <f t="shared" si="528"/>
        <v>30.081348263269305</v>
      </c>
      <c r="U895" s="90">
        <f t="shared" si="528"/>
        <v>2.0341450058514727</v>
      </c>
      <c r="V895" s="90">
        <f t="shared" si="528"/>
        <v>0</v>
      </c>
      <c r="W895" s="90">
        <f t="shared" si="528"/>
        <v>0</v>
      </c>
      <c r="X895" s="94">
        <f>SUM(G895:W895)</f>
        <v>2463594.9027471254</v>
      </c>
      <c r="Y895" s="87" t="str">
        <f t="shared" ref="Y895:Y900" si="530">IF(ABS(F895-X895)&lt;0.01,"ok","err")</f>
        <v>ok</v>
      </c>
      <c r="Z895" s="91" t="str">
        <f t="shared" ref="Z895:Z900" si="531">IF(Y895="err",X895-F895,"")</f>
        <v/>
      </c>
    </row>
    <row r="896" spans="1:26" ht="12" customHeight="1" x14ac:dyDescent="0.5">
      <c r="A896" s="86" t="s">
        <v>2398</v>
      </c>
      <c r="F896" s="91">
        <f>F408</f>
        <v>22386637.187066048</v>
      </c>
      <c r="G896" s="90"/>
      <c r="H896" s="90"/>
      <c r="I896" s="90"/>
      <c r="J896" s="90"/>
      <c r="K896" s="90"/>
      <c r="L896" s="90"/>
      <c r="M896" s="90"/>
      <c r="N896" s="90"/>
      <c r="O896" s="90"/>
      <c r="P896" s="90"/>
      <c r="Q896" s="90"/>
      <c r="R896" s="90"/>
      <c r="S896" s="90"/>
      <c r="T896" s="90"/>
      <c r="U896" s="90"/>
      <c r="V896" s="90"/>
      <c r="W896" s="90">
        <f>W893</f>
        <v>5.0058370372321517E-5</v>
      </c>
      <c r="X896" s="94">
        <f>F896</f>
        <v>22386637.187066048</v>
      </c>
      <c r="Y896" s="87" t="str">
        <f t="shared" si="530"/>
        <v>ok</v>
      </c>
      <c r="Z896" s="91" t="str">
        <f t="shared" si="531"/>
        <v/>
      </c>
    </row>
    <row r="897" spans="1:26" ht="12" customHeight="1" x14ac:dyDescent="0.5">
      <c r="A897" s="86" t="s">
        <v>849</v>
      </c>
      <c r="F897" s="91">
        <f>4038.948689961+569.386976219062</f>
        <v>4608.3356661800626</v>
      </c>
      <c r="G897" s="91"/>
      <c r="H897" s="91"/>
      <c r="I897" s="91"/>
      <c r="J897" s="91"/>
      <c r="K897" s="91"/>
      <c r="L897" s="91"/>
      <c r="M897" s="91"/>
      <c r="N897" s="91"/>
      <c r="O897" s="91"/>
      <c r="P897" s="91"/>
      <c r="Q897" s="91"/>
      <c r="R897" s="91"/>
      <c r="S897" s="91"/>
      <c r="T897" s="91"/>
      <c r="U897" s="91"/>
      <c r="V897" s="91">
        <f>4038.948689961</f>
        <v>4038.9486899610001</v>
      </c>
      <c r="W897" s="91">
        <v>569.38697621906249</v>
      </c>
      <c r="X897" s="94">
        <f>SUM(G897:W897)</f>
        <v>4608.3356661800626</v>
      </c>
      <c r="Y897" s="87" t="str">
        <f t="shared" si="530"/>
        <v>ok</v>
      </c>
      <c r="Z897" s="91" t="str">
        <f t="shared" si="531"/>
        <v/>
      </c>
    </row>
    <row r="898" spans="1:26" ht="12" customHeight="1" x14ac:dyDescent="0.5">
      <c r="A898" s="86" t="s">
        <v>2399</v>
      </c>
      <c r="E898" s="86" t="s">
        <v>2408</v>
      </c>
      <c r="F898" s="91">
        <f>F896-F897</f>
        <v>22382028.851399869</v>
      </c>
      <c r="G898" s="89">
        <f t="shared" ref="G898:W898" si="532">IF(VLOOKUP($E898,$D$5:$AK$997,3,)=0,0,(VLOOKUP($E898,$D$5:$AK$997,G$1,)/VLOOKUP($E898,$D$5:$AK$997,3,))*$F898)</f>
        <v>9176049.1004207749</v>
      </c>
      <c r="H898" s="89">
        <f t="shared" si="532"/>
        <v>9371.1270216470275</v>
      </c>
      <c r="I898" s="89">
        <f t="shared" si="532"/>
        <v>2474031.6258515259</v>
      </c>
      <c r="J898" s="89">
        <f t="shared" si="532"/>
        <v>158751.85131889884</v>
      </c>
      <c r="K898" s="89">
        <f t="shared" si="532"/>
        <v>2307133.5224887216</v>
      </c>
      <c r="L898" s="89">
        <f t="shared" si="532"/>
        <v>100233.83492140447</v>
      </c>
      <c r="M898" s="89">
        <f t="shared" si="532"/>
        <v>2218831.4251543311</v>
      </c>
      <c r="N898" s="89">
        <f t="shared" si="532"/>
        <v>4061816.4894269765</v>
      </c>
      <c r="O898" s="89">
        <f t="shared" si="532"/>
        <v>1322182.4138066652</v>
      </c>
      <c r="P898" s="89">
        <f t="shared" si="532"/>
        <v>547513.91837642249</v>
      </c>
      <c r="Q898" s="89">
        <f t="shared" si="532"/>
        <v>3568.7273926218322</v>
      </c>
      <c r="R898" s="89">
        <f t="shared" si="532"/>
        <v>129.84128753727956</v>
      </c>
      <c r="S898" s="89">
        <f t="shared" si="532"/>
        <v>2123.2011672109388</v>
      </c>
      <c r="T898" s="89">
        <f t="shared" si="532"/>
        <v>273.29233550805475</v>
      </c>
      <c r="U898" s="89">
        <f t="shared" si="532"/>
        <v>18.480429618575101</v>
      </c>
      <c r="V898" s="89">
        <f t="shared" si="532"/>
        <v>0</v>
      </c>
      <c r="W898" s="89">
        <f t="shared" si="532"/>
        <v>0</v>
      </c>
      <c r="X898" s="94">
        <f>SUM(G898:W898)</f>
        <v>22382028.851399869</v>
      </c>
      <c r="Y898" s="87" t="str">
        <f t="shared" si="530"/>
        <v>ok</v>
      </c>
      <c r="Z898" s="91" t="str">
        <f t="shared" si="531"/>
        <v/>
      </c>
    </row>
    <row r="899" spans="1:26" ht="12" customHeight="1" x14ac:dyDescent="0.5">
      <c r="A899" s="86" t="s">
        <v>2400</v>
      </c>
      <c r="D899" s="86" t="s">
        <v>2409</v>
      </c>
      <c r="F899" s="91">
        <f t="shared" ref="F899:W899" si="533">F897+F898</f>
        <v>22386637.187066048</v>
      </c>
      <c r="G899" s="91">
        <f t="shared" si="533"/>
        <v>9176049.1004207749</v>
      </c>
      <c r="H899" s="91">
        <f t="shared" ref="H899" si="534">H897+H898</f>
        <v>9371.1270216470275</v>
      </c>
      <c r="I899" s="91">
        <f t="shared" si="533"/>
        <v>2474031.6258515259</v>
      </c>
      <c r="J899" s="91">
        <f t="shared" si="533"/>
        <v>158751.85131889884</v>
      </c>
      <c r="K899" s="91">
        <f t="shared" si="533"/>
        <v>2307133.5224887216</v>
      </c>
      <c r="L899" s="91">
        <f t="shared" si="533"/>
        <v>100233.83492140447</v>
      </c>
      <c r="M899" s="91">
        <f t="shared" si="533"/>
        <v>2218831.4251543311</v>
      </c>
      <c r="N899" s="91">
        <f t="shared" si="533"/>
        <v>4061816.4894269765</v>
      </c>
      <c r="O899" s="91">
        <f t="shared" si="533"/>
        <v>1322182.4138066652</v>
      </c>
      <c r="P899" s="91">
        <f t="shared" si="533"/>
        <v>547513.91837642249</v>
      </c>
      <c r="Q899" s="91">
        <f t="shared" si="533"/>
        <v>3568.7273926218322</v>
      </c>
      <c r="R899" s="91">
        <f t="shared" si="533"/>
        <v>129.84128753727956</v>
      </c>
      <c r="S899" s="91">
        <f t="shared" si="533"/>
        <v>2123.2011672109388</v>
      </c>
      <c r="T899" s="91">
        <f t="shared" si="533"/>
        <v>273.29233550805475</v>
      </c>
      <c r="U899" s="91">
        <f t="shared" si="533"/>
        <v>18.480429618575101</v>
      </c>
      <c r="V899" s="91">
        <f t="shared" si="533"/>
        <v>4038.9486899610001</v>
      </c>
      <c r="W899" s="91">
        <f t="shared" si="533"/>
        <v>569.38697621906249</v>
      </c>
      <c r="X899" s="94">
        <f>SUM(G899:W899)</f>
        <v>22386637.187066048</v>
      </c>
      <c r="Y899" s="87" t="str">
        <f t="shared" si="530"/>
        <v>ok</v>
      </c>
      <c r="Z899" s="91" t="str">
        <f t="shared" si="531"/>
        <v/>
      </c>
    </row>
    <row r="900" spans="1:26" ht="12" customHeight="1" x14ac:dyDescent="0.5">
      <c r="A900" s="86" t="s">
        <v>2401</v>
      </c>
      <c r="D900" s="86" t="s">
        <v>2410</v>
      </c>
      <c r="E900" s="86" t="s">
        <v>2409</v>
      </c>
      <c r="F900" s="107">
        <v>1</v>
      </c>
      <c r="G900" s="106">
        <f t="shared" ref="G900:W900" si="535">IF(VLOOKUP($E900,$D$5:$AK$997,3,)=0,0,(VLOOKUP($E900,$D$5:$AK$997,G$1,)/VLOOKUP($E900,$D$5:$AK$997,3,))*$F900)</f>
        <v>0.40988957044974433</v>
      </c>
      <c r="H900" s="106">
        <f t="shared" si="535"/>
        <v>4.1860360461200605E-4</v>
      </c>
      <c r="I900" s="106">
        <f t="shared" si="535"/>
        <v>0.11051376788653661</v>
      </c>
      <c r="J900" s="106">
        <f t="shared" si="535"/>
        <v>7.0913666037620976E-3</v>
      </c>
      <c r="K900" s="106">
        <f t="shared" si="535"/>
        <v>0.10305851223700875</v>
      </c>
      <c r="L900" s="106">
        <f t="shared" si="535"/>
        <v>4.4773957823069062E-3</v>
      </c>
      <c r="M900" s="106">
        <f t="shared" si="535"/>
        <v>9.9114101265565163E-2</v>
      </c>
      <c r="N900" s="106">
        <f t="shared" si="535"/>
        <v>0.18143933166405646</v>
      </c>
      <c r="O900" s="106">
        <f t="shared" si="535"/>
        <v>5.9061233840451942E-2</v>
      </c>
      <c r="P900" s="106">
        <f t="shared" si="535"/>
        <v>2.4457175671420198E-2</v>
      </c>
      <c r="Q900" s="106">
        <f t="shared" si="535"/>
        <v>1.5941328582765775E-4</v>
      </c>
      <c r="R900" s="106">
        <f t="shared" si="535"/>
        <v>5.7999460326402115E-6</v>
      </c>
      <c r="S900" s="106">
        <f t="shared" si="535"/>
        <v>9.4842344987733352E-5</v>
      </c>
      <c r="T900" s="106">
        <f t="shared" si="535"/>
        <v>1.2207833325942776E-5</v>
      </c>
      <c r="U900" s="106">
        <f t="shared" si="535"/>
        <v>8.2551164179550058E-7</v>
      </c>
      <c r="V900" s="106">
        <f t="shared" si="535"/>
        <v>1.804178383832707E-4</v>
      </c>
      <c r="W900" s="106">
        <f t="shared" si="535"/>
        <v>2.5434234336366861E-5</v>
      </c>
      <c r="X900" s="98">
        <f>SUM(G900:W900)</f>
        <v>0.99999999999999989</v>
      </c>
      <c r="Y900" s="87" t="str">
        <f t="shared" si="530"/>
        <v>ok</v>
      </c>
      <c r="Z900" s="91" t="str">
        <f t="shared" si="531"/>
        <v/>
      </c>
    </row>
    <row r="901" spans="1:26" ht="12" customHeight="1" x14ac:dyDescent="0.5">
      <c r="F901" s="107"/>
      <c r="G901" s="106"/>
      <c r="H901" s="106"/>
      <c r="I901" s="106"/>
      <c r="J901" s="106"/>
      <c r="K901" s="106"/>
      <c r="L901" s="106"/>
      <c r="M901" s="106"/>
      <c r="N901" s="106"/>
      <c r="O901" s="106"/>
      <c r="P901" s="106"/>
      <c r="Q901" s="106"/>
      <c r="R901" s="106"/>
      <c r="S901" s="106"/>
      <c r="T901" s="106"/>
      <c r="U901" s="106"/>
      <c r="V901" s="106"/>
      <c r="W901" s="106"/>
      <c r="X901" s="98"/>
      <c r="Y901" s="87"/>
      <c r="Z901" s="91"/>
    </row>
    <row r="902" spans="1:26" ht="12" customHeight="1" x14ac:dyDescent="0.5">
      <c r="A902" s="22" t="s">
        <v>2416</v>
      </c>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86" t="s">
        <v>2411</v>
      </c>
      <c r="D903" s="86" t="s">
        <v>2418</v>
      </c>
      <c r="F903" s="90">
        <f>Meters!$G$47</f>
        <v>49194750.258011512</v>
      </c>
      <c r="G903" s="90">
        <f>Meters!$G$10</f>
        <v>29676843.635354165</v>
      </c>
      <c r="H903" s="90">
        <f>Meters!$G$12</f>
        <v>43420.514033874999</v>
      </c>
      <c r="I903" s="90">
        <f>Meters!$G$14+Meters!$G$16</f>
        <v>11993012.715613034</v>
      </c>
      <c r="J903" s="90">
        <f>Meters!$G$18+Meters!$G$20</f>
        <v>244802.63237858255</v>
      </c>
      <c r="K903" s="90">
        <f>Meters!$G$22</f>
        <v>3749766.7077880916</v>
      </c>
      <c r="L903" s="90">
        <f>Meters!$G$24</f>
        <v>733308.08051836654</v>
      </c>
      <c r="M903" s="90">
        <f>Meters!$G$26</f>
        <v>670690.66895021172</v>
      </c>
      <c r="N903" s="90">
        <f>Meters!$G$28</f>
        <v>1299034.4739233158</v>
      </c>
      <c r="O903" s="90">
        <f>Meters!$G$30</f>
        <v>644052.01482892304</v>
      </c>
      <c r="P903" s="90">
        <f>Meters!$G$32</f>
        <v>39757.048914100007</v>
      </c>
      <c r="Q903" s="90">
        <f>Meters!$G$34</f>
        <v>0</v>
      </c>
      <c r="R903" s="90">
        <f>Meters!$G$36</f>
        <v>7256.3489603999997</v>
      </c>
      <c r="S903" s="90">
        <f>Meters!$G$38</f>
        <v>89427.782095300005</v>
      </c>
      <c r="T903" s="90">
        <f>Meters!$G$40</f>
        <v>3377.634653152787</v>
      </c>
      <c r="U903" s="90">
        <f>Meters!$G$42</f>
        <v>0</v>
      </c>
      <c r="V903" s="90">
        <f>Meters!$G$44</f>
        <v>0</v>
      </c>
      <c r="W903" s="106">
        <v>0</v>
      </c>
      <c r="X903" s="94">
        <f>SUM(G903:W903)</f>
        <v>49194750.25801152</v>
      </c>
      <c r="Y903" s="87" t="str">
        <f t="shared" ref="Y903:Y908" si="536">IF(ABS(F903-X903)&lt;0.01,"ok","err")</f>
        <v>ok</v>
      </c>
      <c r="Z903" s="91" t="str">
        <f t="shared" ref="Z903:Z908" si="537">IF(Y903="err",X903-F903,"")</f>
        <v/>
      </c>
    </row>
    <row r="904" spans="1:26" ht="12" customHeight="1" x14ac:dyDescent="0.5">
      <c r="A904" s="86" t="s">
        <v>2412</v>
      </c>
      <c r="F904" s="91">
        <f>F45</f>
        <v>77142556.667383939</v>
      </c>
      <c r="G904" s="90"/>
      <c r="H904" s="90"/>
      <c r="I904" s="90"/>
      <c r="J904" s="90"/>
      <c r="K904" s="90"/>
      <c r="L904" s="90"/>
      <c r="M904" s="90"/>
      <c r="N904" s="90"/>
      <c r="O904" s="90"/>
      <c r="P904" s="90"/>
      <c r="Q904" s="90"/>
      <c r="R904" s="90"/>
      <c r="S904" s="90"/>
      <c r="T904" s="90"/>
      <c r="U904" s="90"/>
      <c r="V904" s="90"/>
      <c r="W904" s="90">
        <f>W900</f>
        <v>2.5434234336366861E-5</v>
      </c>
      <c r="X904" s="94">
        <f>F904</f>
        <v>77142556.667383939</v>
      </c>
      <c r="Y904" s="87" t="str">
        <f t="shared" si="536"/>
        <v>ok</v>
      </c>
      <c r="Z904" s="91" t="str">
        <f t="shared" si="537"/>
        <v/>
      </c>
    </row>
    <row r="905" spans="1:26" ht="12" customHeight="1" x14ac:dyDescent="0.5">
      <c r="A905" s="86" t="s">
        <v>849</v>
      </c>
      <c r="F905" s="91">
        <v>159233.81</v>
      </c>
      <c r="G905" s="91"/>
      <c r="H905" s="91"/>
      <c r="I905" s="91"/>
      <c r="J905" s="91"/>
      <c r="K905" s="91"/>
      <c r="L905" s="91"/>
      <c r="M905" s="91"/>
      <c r="N905" s="91"/>
      <c r="O905" s="91"/>
      <c r="P905" s="91"/>
      <c r="Q905" s="91"/>
      <c r="R905" s="91"/>
      <c r="S905" s="91"/>
      <c r="T905" s="91"/>
      <c r="U905" s="91">
        <v>159233.81</v>
      </c>
      <c r="V905" s="91">
        <v>0</v>
      </c>
      <c r="W905" s="91"/>
      <c r="X905" s="94">
        <f>SUM(G905:W905)</f>
        <v>159233.81</v>
      </c>
      <c r="Y905" s="87" t="str">
        <f t="shared" si="536"/>
        <v>ok</v>
      </c>
      <c r="Z905" s="91" t="str">
        <f t="shared" si="537"/>
        <v/>
      </c>
    </row>
    <row r="906" spans="1:26" ht="12" customHeight="1" x14ac:dyDescent="0.5">
      <c r="A906" s="86" t="s">
        <v>2413</v>
      </c>
      <c r="E906" s="86" t="s">
        <v>2418</v>
      </c>
      <c r="F906" s="91">
        <f>F904-F905</f>
        <v>76983322.857383937</v>
      </c>
      <c r="G906" s="89">
        <f t="shared" ref="G906:W906" si="538">IF(VLOOKUP($E906,$D$5:$AK$997,3,)=0,0,(VLOOKUP($E906,$D$5:$AK$997,G$1,)/VLOOKUP($E906,$D$5:$AK$997,3,))*$F906)</f>
        <v>46440362.497754768</v>
      </c>
      <c r="H906" s="89">
        <f t="shared" si="538"/>
        <v>67947.401561592589</v>
      </c>
      <c r="I906" s="89">
        <f t="shared" si="538"/>
        <v>18767489.723527826</v>
      </c>
      <c r="J906" s="89">
        <f t="shared" si="538"/>
        <v>383083.96700659761</v>
      </c>
      <c r="K906" s="89">
        <f t="shared" si="538"/>
        <v>5867892.3989152601</v>
      </c>
      <c r="L906" s="89">
        <f t="shared" si="538"/>
        <v>1147530.8324648004</v>
      </c>
      <c r="M906" s="89">
        <f t="shared" si="538"/>
        <v>1049542.8076051779</v>
      </c>
      <c r="N906" s="89">
        <f t="shared" si="538"/>
        <v>2032818.334973142</v>
      </c>
      <c r="O906" s="89">
        <f t="shared" si="538"/>
        <v>1007856.8126575488</v>
      </c>
      <c r="P906" s="89">
        <f t="shared" si="538"/>
        <v>62214.559812965686</v>
      </c>
      <c r="Q906" s="89">
        <f t="shared" si="538"/>
        <v>0</v>
      </c>
      <c r="R906" s="89">
        <f t="shared" si="538"/>
        <v>11355.23306561238</v>
      </c>
      <c r="S906" s="89">
        <f t="shared" si="538"/>
        <v>139942.7334289822</v>
      </c>
      <c r="T906" s="89">
        <f t="shared" si="538"/>
        <v>5285.5546096730868</v>
      </c>
      <c r="U906" s="89">
        <f t="shared" si="538"/>
        <v>0</v>
      </c>
      <c r="V906" s="89">
        <f t="shared" si="538"/>
        <v>0</v>
      </c>
      <c r="W906" s="89">
        <f t="shared" si="538"/>
        <v>0</v>
      </c>
      <c r="X906" s="94">
        <f>SUM(G906:W906)</f>
        <v>76983322.857383937</v>
      </c>
      <c r="Y906" s="87" t="str">
        <f t="shared" si="536"/>
        <v>ok</v>
      </c>
      <c r="Z906" s="91" t="str">
        <f t="shared" si="537"/>
        <v/>
      </c>
    </row>
    <row r="907" spans="1:26" ht="12" customHeight="1" x14ac:dyDescent="0.5">
      <c r="A907" s="86" t="s">
        <v>2414</v>
      </c>
      <c r="D907" s="86" t="s">
        <v>2419</v>
      </c>
      <c r="F907" s="91">
        <f t="shared" ref="F907:W907" si="539">F905+F906</f>
        <v>77142556.667383939</v>
      </c>
      <c r="G907" s="91">
        <f t="shared" si="539"/>
        <v>46440362.497754768</v>
      </c>
      <c r="H907" s="91">
        <f t="shared" ref="H907" si="540">H905+H906</f>
        <v>67947.401561592589</v>
      </c>
      <c r="I907" s="91">
        <f t="shared" si="539"/>
        <v>18767489.723527826</v>
      </c>
      <c r="J907" s="91">
        <f t="shared" si="539"/>
        <v>383083.96700659761</v>
      </c>
      <c r="K907" s="91">
        <f t="shared" si="539"/>
        <v>5867892.3989152601</v>
      </c>
      <c r="L907" s="91">
        <f t="shared" si="539"/>
        <v>1147530.8324648004</v>
      </c>
      <c r="M907" s="91">
        <f t="shared" si="539"/>
        <v>1049542.8076051779</v>
      </c>
      <c r="N907" s="91">
        <f t="shared" si="539"/>
        <v>2032818.334973142</v>
      </c>
      <c r="O907" s="91">
        <f t="shared" si="539"/>
        <v>1007856.8126575488</v>
      </c>
      <c r="P907" s="91">
        <f t="shared" si="539"/>
        <v>62214.559812965686</v>
      </c>
      <c r="Q907" s="91">
        <f t="shared" si="539"/>
        <v>0</v>
      </c>
      <c r="R907" s="91">
        <f t="shared" si="539"/>
        <v>11355.23306561238</v>
      </c>
      <c r="S907" s="91">
        <f t="shared" si="539"/>
        <v>139942.7334289822</v>
      </c>
      <c r="T907" s="91">
        <f t="shared" si="539"/>
        <v>5285.5546096730868</v>
      </c>
      <c r="U907" s="91">
        <f t="shared" si="539"/>
        <v>159233.81</v>
      </c>
      <c r="V907" s="91">
        <f t="shared" si="539"/>
        <v>0</v>
      </c>
      <c r="W907" s="91">
        <f t="shared" si="539"/>
        <v>0</v>
      </c>
      <c r="X907" s="94">
        <f>SUM(G907:W907)</f>
        <v>77142556.667383939</v>
      </c>
      <c r="Y907" s="87" t="str">
        <f t="shared" si="536"/>
        <v>ok</v>
      </c>
      <c r="Z907" s="91" t="str">
        <f t="shared" si="537"/>
        <v/>
      </c>
    </row>
    <row r="908" spans="1:26" ht="12" customHeight="1" x14ac:dyDescent="0.5">
      <c r="A908" s="86" t="s">
        <v>2415</v>
      </c>
      <c r="D908" s="86" t="s">
        <v>2420</v>
      </c>
      <c r="E908" s="86" t="s">
        <v>2419</v>
      </c>
      <c r="F908" s="107">
        <v>1</v>
      </c>
      <c r="G908" s="106">
        <f t="shared" ref="G908:W908" si="541">IF(VLOOKUP($E908,$D$5:$AK$997,3,)=0,0,(VLOOKUP($E908,$D$5:$AK$997,G$1,)/VLOOKUP($E908,$D$5:$AK$997,3,))*$F908)</f>
        <v>0.60200704389396864</v>
      </c>
      <c r="H908" s="106">
        <f t="shared" si="541"/>
        <v>8.808030806466765E-4</v>
      </c>
      <c r="I908" s="106">
        <f t="shared" si="541"/>
        <v>0.24328322179478357</v>
      </c>
      <c r="J908" s="106">
        <f t="shared" si="541"/>
        <v>4.9659226185404153E-3</v>
      </c>
      <c r="K908" s="106">
        <f t="shared" si="541"/>
        <v>7.6065568117166374E-2</v>
      </c>
      <c r="L908" s="106">
        <f t="shared" si="541"/>
        <v>1.4875457620786625E-2</v>
      </c>
      <c r="M908" s="106">
        <f t="shared" si="541"/>
        <v>1.3605237536143615E-2</v>
      </c>
      <c r="N908" s="106">
        <f t="shared" si="541"/>
        <v>2.6351451426973805E-2</v>
      </c>
      <c r="O908" s="106">
        <f t="shared" si="541"/>
        <v>1.3064861422769945E-2</v>
      </c>
      <c r="P908" s="106">
        <f t="shared" si="541"/>
        <v>8.0648817592624792E-4</v>
      </c>
      <c r="Q908" s="106">
        <f t="shared" si="541"/>
        <v>0</v>
      </c>
      <c r="R908" s="106">
        <f t="shared" si="541"/>
        <v>1.4719803900942527E-4</v>
      </c>
      <c r="S908" s="106">
        <f t="shared" si="541"/>
        <v>1.8140795363106022E-3</v>
      </c>
      <c r="T908" s="106">
        <f t="shared" si="541"/>
        <v>6.8516715520109694E-5</v>
      </c>
      <c r="U908" s="106">
        <f t="shared" si="541"/>
        <v>2.0641500214540393E-3</v>
      </c>
      <c r="V908" s="106">
        <f t="shared" si="541"/>
        <v>0</v>
      </c>
      <c r="W908" s="106">
        <f t="shared" si="541"/>
        <v>0</v>
      </c>
      <c r="X908" s="98">
        <f>SUM(G908:W908)</f>
        <v>1</v>
      </c>
      <c r="Y908" s="87" t="str">
        <f t="shared" si="536"/>
        <v>ok</v>
      </c>
      <c r="Z908" s="91" t="str">
        <f t="shared" si="537"/>
        <v/>
      </c>
    </row>
    <row r="909" spans="1:26" ht="12" customHeight="1" x14ac:dyDescent="0.5">
      <c r="F909" s="107"/>
      <c r="G909" s="106"/>
      <c r="H909" s="106"/>
      <c r="I909" s="106"/>
      <c r="J909" s="106"/>
      <c r="K909" s="106"/>
      <c r="L909" s="106"/>
      <c r="M909" s="106"/>
      <c r="N909" s="106"/>
      <c r="O909" s="106"/>
      <c r="P909" s="106"/>
      <c r="Q909" s="106"/>
      <c r="R909" s="106"/>
      <c r="S909" s="106"/>
      <c r="T909" s="106"/>
      <c r="U909" s="106"/>
      <c r="V909" s="106"/>
      <c r="W909" s="106"/>
      <c r="X909" s="98"/>
      <c r="Y909" s="87"/>
      <c r="Z909" s="91"/>
    </row>
    <row r="910" spans="1:26" ht="12" customHeight="1" x14ac:dyDescent="0.5">
      <c r="A910" s="86" t="s">
        <v>2421</v>
      </c>
      <c r="D910" s="86" t="s">
        <v>2431</v>
      </c>
      <c r="F910" s="90">
        <f>Meters!$G$47</f>
        <v>49194750.258011512</v>
      </c>
      <c r="G910" s="90">
        <f>Meters!$G$10</f>
        <v>29676843.635354165</v>
      </c>
      <c r="H910" s="90">
        <f>Meters!$G$12</f>
        <v>43420.514033874999</v>
      </c>
      <c r="I910" s="90">
        <f>Meters!$G$14+Meters!$G$16</f>
        <v>11993012.715613034</v>
      </c>
      <c r="J910" s="90">
        <f>Meters!$G$18+Meters!$G$20</f>
        <v>244802.63237858255</v>
      </c>
      <c r="K910" s="90">
        <f>Meters!$G$22</f>
        <v>3749766.7077880916</v>
      </c>
      <c r="L910" s="90">
        <f>Meters!$G$24</f>
        <v>733308.08051836654</v>
      </c>
      <c r="M910" s="90">
        <f>Meters!$G$26</f>
        <v>670690.66895021172</v>
      </c>
      <c r="N910" s="90">
        <f>Meters!$G$28</f>
        <v>1299034.4739233158</v>
      </c>
      <c r="O910" s="90">
        <f>Meters!$G$30</f>
        <v>644052.01482892304</v>
      </c>
      <c r="P910" s="90">
        <f>Meters!$G$32</f>
        <v>39757.048914100007</v>
      </c>
      <c r="Q910" s="90">
        <f>Meters!$G$34</f>
        <v>0</v>
      </c>
      <c r="R910" s="90">
        <f>Meters!$G$36</f>
        <v>7256.3489603999997</v>
      </c>
      <c r="S910" s="90">
        <f>Meters!$G$38</f>
        <v>89427.782095300005</v>
      </c>
      <c r="T910" s="90">
        <f>Meters!$G$40</f>
        <v>3377.634653152787</v>
      </c>
      <c r="U910" s="90">
        <f>Meters!$G$42</f>
        <v>0</v>
      </c>
      <c r="V910" s="90">
        <f>Meters!$G$44</f>
        <v>0</v>
      </c>
      <c r="W910" s="106">
        <v>0</v>
      </c>
      <c r="X910" s="94">
        <f>SUM(G910:W910)</f>
        <v>49194750.25801152</v>
      </c>
      <c r="Y910" s="87" t="str">
        <f t="shared" ref="Y910:Y915" si="542">IF(ABS(F910-X910)&lt;0.01,"ok","err")</f>
        <v>ok</v>
      </c>
      <c r="Z910" s="91" t="str">
        <f t="shared" ref="Z910:Z915" si="543">IF(Y910="err",X910-F910,"")</f>
        <v/>
      </c>
    </row>
    <row r="911" spans="1:26" ht="12" customHeight="1" x14ac:dyDescent="0.5">
      <c r="A911" s="86" t="s">
        <v>2422</v>
      </c>
      <c r="F911" s="91">
        <f>F103</f>
        <v>53653152.478743747</v>
      </c>
      <c r="G911" s="90"/>
      <c r="H911" s="90"/>
      <c r="I911" s="90"/>
      <c r="J911" s="90"/>
      <c r="K911" s="90"/>
      <c r="L911" s="90"/>
      <c r="M911" s="90"/>
      <c r="N911" s="90"/>
      <c r="O911" s="90"/>
      <c r="P911" s="90"/>
      <c r="Q911" s="90"/>
      <c r="R911" s="90"/>
      <c r="S911" s="90"/>
      <c r="T911" s="90"/>
      <c r="U911" s="90"/>
      <c r="V911" s="90"/>
      <c r="W911" s="90">
        <f>W907</f>
        <v>0</v>
      </c>
      <c r="X911" s="94">
        <f>F911</f>
        <v>53653152.478743747</v>
      </c>
      <c r="Y911" s="87" t="str">
        <f t="shared" si="542"/>
        <v>ok</v>
      </c>
      <c r="Z911" s="91" t="str">
        <f t="shared" si="543"/>
        <v/>
      </c>
    </row>
    <row r="912" spans="1:26" ht="12" customHeight="1" x14ac:dyDescent="0.5">
      <c r="A912" s="86" t="s">
        <v>849</v>
      </c>
      <c r="F912" s="91">
        <v>120012.82</v>
      </c>
      <c r="G912" s="91"/>
      <c r="H912" s="91"/>
      <c r="I912" s="91"/>
      <c r="J912" s="91"/>
      <c r="K912" s="91"/>
      <c r="L912" s="91"/>
      <c r="M912" s="91"/>
      <c r="N912" s="91"/>
      <c r="O912" s="91"/>
      <c r="P912" s="91"/>
      <c r="Q912" s="91"/>
      <c r="R912" s="91"/>
      <c r="S912" s="91"/>
      <c r="T912" s="91"/>
      <c r="U912" s="91">
        <f>U905-39220.99</f>
        <v>120012.82</v>
      </c>
      <c r="V912" s="91">
        <v>0</v>
      </c>
      <c r="W912" s="91"/>
      <c r="X912" s="94">
        <f>SUM(G912:W912)</f>
        <v>120012.82</v>
      </c>
      <c r="Y912" s="87" t="str">
        <f t="shared" si="542"/>
        <v>ok</v>
      </c>
      <c r="Z912" s="91" t="str">
        <f t="shared" si="543"/>
        <v/>
      </c>
    </row>
    <row r="913" spans="1:26" ht="12" customHeight="1" x14ac:dyDescent="0.5">
      <c r="A913" s="86" t="s">
        <v>2423</v>
      </c>
      <c r="E913" s="86" t="s">
        <v>2431</v>
      </c>
      <c r="F913" s="91">
        <f>F911-F912</f>
        <v>53533139.658743747</v>
      </c>
      <c r="G913" s="89">
        <f t="shared" ref="G913:W913" si="544">IF(VLOOKUP($E913,$D$5:$AK$997,3,)=0,0,(VLOOKUP($E913,$D$5:$AK$997,G$1,)/VLOOKUP($E913,$D$5:$AK$997,3,))*$F913)</f>
        <v>32293986.789848402</v>
      </c>
      <c r="H913" s="89">
        <f t="shared" si="544"/>
        <v>47249.684765933569</v>
      </c>
      <c r="I913" s="89">
        <f t="shared" si="544"/>
        <v>13050653.195041815</v>
      </c>
      <c r="J913" s="89">
        <f t="shared" si="544"/>
        <v>266391.30068185611</v>
      </c>
      <c r="K913" s="89">
        <f t="shared" si="544"/>
        <v>4080451.3449692139</v>
      </c>
      <c r="L913" s="89">
        <f t="shared" si="544"/>
        <v>797977.0947385187</v>
      </c>
      <c r="M913" s="89">
        <f t="shared" si="544"/>
        <v>729837.57535959536</v>
      </c>
      <c r="N913" s="89">
        <f t="shared" si="544"/>
        <v>1413593.799121575</v>
      </c>
      <c r="O913" s="89">
        <f t="shared" si="544"/>
        <v>700849.71011143958</v>
      </c>
      <c r="P913" s="89">
        <f t="shared" si="544"/>
        <v>43263.145778271719</v>
      </c>
      <c r="Q913" s="89">
        <f t="shared" si="544"/>
        <v>0</v>
      </c>
      <c r="R913" s="89">
        <f t="shared" si="544"/>
        <v>7896.2722703610452</v>
      </c>
      <c r="S913" s="89">
        <f t="shared" si="544"/>
        <v>97314.244368986605</v>
      </c>
      <c r="T913" s="89">
        <f t="shared" si="544"/>
        <v>3675.5016877841413</v>
      </c>
      <c r="U913" s="89">
        <f t="shared" si="544"/>
        <v>0</v>
      </c>
      <c r="V913" s="89">
        <f t="shared" si="544"/>
        <v>0</v>
      </c>
      <c r="W913" s="89">
        <f t="shared" si="544"/>
        <v>0</v>
      </c>
      <c r="X913" s="94">
        <f>SUM(G913:W913)</f>
        <v>53533139.658743754</v>
      </c>
      <c r="Y913" s="87" t="str">
        <f t="shared" si="542"/>
        <v>ok</v>
      </c>
      <c r="Z913" s="91" t="str">
        <f t="shared" si="543"/>
        <v/>
      </c>
    </row>
    <row r="914" spans="1:26" ht="12" customHeight="1" x14ac:dyDescent="0.5">
      <c r="A914" s="86" t="s">
        <v>2424</v>
      </c>
      <c r="D914" s="86" t="s">
        <v>2432</v>
      </c>
      <c r="F914" s="91">
        <f t="shared" ref="F914:W914" si="545">F912+F913</f>
        <v>53653152.478743747</v>
      </c>
      <c r="G914" s="91">
        <f t="shared" si="545"/>
        <v>32293986.789848402</v>
      </c>
      <c r="H914" s="91">
        <f t="shared" ref="H914" si="546">H912+H913</f>
        <v>47249.684765933569</v>
      </c>
      <c r="I914" s="91">
        <f t="shared" si="545"/>
        <v>13050653.195041815</v>
      </c>
      <c r="J914" s="91">
        <f t="shared" si="545"/>
        <v>266391.30068185611</v>
      </c>
      <c r="K914" s="91">
        <f t="shared" si="545"/>
        <v>4080451.3449692139</v>
      </c>
      <c r="L914" s="91">
        <f t="shared" si="545"/>
        <v>797977.0947385187</v>
      </c>
      <c r="M914" s="91">
        <f t="shared" si="545"/>
        <v>729837.57535959536</v>
      </c>
      <c r="N914" s="91">
        <f t="shared" si="545"/>
        <v>1413593.799121575</v>
      </c>
      <c r="O914" s="91">
        <f t="shared" si="545"/>
        <v>700849.71011143958</v>
      </c>
      <c r="P914" s="91">
        <f t="shared" si="545"/>
        <v>43263.145778271719</v>
      </c>
      <c r="Q914" s="91">
        <f t="shared" si="545"/>
        <v>0</v>
      </c>
      <c r="R914" s="91">
        <f t="shared" si="545"/>
        <v>7896.2722703610452</v>
      </c>
      <c r="S914" s="91">
        <f t="shared" si="545"/>
        <v>97314.244368986605</v>
      </c>
      <c r="T914" s="91">
        <f t="shared" si="545"/>
        <v>3675.5016877841413</v>
      </c>
      <c r="U914" s="91">
        <f t="shared" si="545"/>
        <v>120012.82</v>
      </c>
      <c r="V914" s="91">
        <f t="shared" si="545"/>
        <v>0</v>
      </c>
      <c r="W914" s="91">
        <f t="shared" si="545"/>
        <v>0</v>
      </c>
      <c r="X914" s="94">
        <f>SUM(G914:W914)</f>
        <v>53653152.478743754</v>
      </c>
      <c r="Y914" s="87" t="str">
        <f t="shared" si="542"/>
        <v>ok</v>
      </c>
      <c r="Z914" s="91" t="str">
        <f t="shared" si="543"/>
        <v/>
      </c>
    </row>
    <row r="915" spans="1:26" ht="12" customHeight="1" x14ac:dyDescent="0.5">
      <c r="A915" s="86" t="s">
        <v>2425</v>
      </c>
      <c r="D915" s="86" t="s">
        <v>2433</v>
      </c>
      <c r="E915" s="86" t="s">
        <v>2432</v>
      </c>
      <c r="F915" s="107">
        <v>1</v>
      </c>
      <c r="G915" s="106">
        <f t="shared" ref="G915:W915" si="547">IF(VLOOKUP($E915,$D$5:$AK$997,3,)=0,0,(VLOOKUP($E915,$D$5:$AK$997,G$1,)/VLOOKUP($E915,$D$5:$AK$997,3,))*$F915)</f>
        <v>0.60190287611976956</v>
      </c>
      <c r="H915" s="106">
        <f t="shared" si="547"/>
        <v>8.8065067163859388E-4</v>
      </c>
      <c r="I915" s="106">
        <f t="shared" si="547"/>
        <v>0.24324112549047719</v>
      </c>
      <c r="J915" s="106">
        <f t="shared" si="547"/>
        <v>4.9650633443653613E-3</v>
      </c>
      <c r="K915" s="106">
        <f t="shared" si="547"/>
        <v>7.6052406176613824E-2</v>
      </c>
      <c r="L915" s="106">
        <f t="shared" si="547"/>
        <v>1.4872883658693875E-2</v>
      </c>
      <c r="M915" s="106">
        <f t="shared" si="547"/>
        <v>1.3602883365497333E-2</v>
      </c>
      <c r="N915" s="106">
        <f t="shared" si="547"/>
        <v>2.6346891726103348E-2</v>
      </c>
      <c r="O915" s="106">
        <f t="shared" si="547"/>
        <v>1.3062600755642485E-2</v>
      </c>
      <c r="P915" s="106">
        <f t="shared" si="547"/>
        <v>8.0634862593417355E-4</v>
      </c>
      <c r="Q915" s="106">
        <f t="shared" si="547"/>
        <v>0</v>
      </c>
      <c r="R915" s="106">
        <f t="shared" si="547"/>
        <v>1.4717256872258126E-4</v>
      </c>
      <c r="S915" s="106">
        <f t="shared" si="547"/>
        <v>1.8137656386088491E-3</v>
      </c>
      <c r="T915" s="106">
        <f t="shared" si="547"/>
        <v>6.8504859788812934E-5</v>
      </c>
      <c r="U915" s="106">
        <f t="shared" si="547"/>
        <v>2.2368269981441736E-3</v>
      </c>
      <c r="V915" s="106">
        <f t="shared" si="547"/>
        <v>0</v>
      </c>
      <c r="W915" s="106">
        <f t="shared" si="547"/>
        <v>0</v>
      </c>
      <c r="X915" s="98">
        <f>SUM(G915:W915)</f>
        <v>1</v>
      </c>
      <c r="Y915" s="87" t="str">
        <f t="shared" si="542"/>
        <v>ok</v>
      </c>
      <c r="Z915" s="91" t="str">
        <f t="shared" si="543"/>
        <v/>
      </c>
    </row>
    <row r="916" spans="1:26" ht="12" customHeight="1" x14ac:dyDescent="0.5">
      <c r="F916" s="107"/>
      <c r="G916" s="106"/>
      <c r="H916" s="106"/>
      <c r="I916" s="106"/>
      <c r="J916" s="106"/>
      <c r="K916" s="106"/>
      <c r="L916" s="106"/>
      <c r="M916" s="106"/>
      <c r="N916" s="106"/>
      <c r="O916" s="106"/>
      <c r="P916" s="106"/>
      <c r="Q916" s="106"/>
      <c r="R916" s="106"/>
      <c r="S916" s="106"/>
      <c r="T916" s="106"/>
      <c r="U916" s="106"/>
      <c r="V916" s="106"/>
      <c r="W916" s="106"/>
      <c r="X916" s="98"/>
      <c r="Y916" s="87"/>
      <c r="Z916" s="91"/>
    </row>
    <row r="917" spans="1:26" ht="12" customHeight="1" x14ac:dyDescent="0.5">
      <c r="A917" s="86" t="s">
        <v>2426</v>
      </c>
      <c r="D917" s="86" t="s">
        <v>2434</v>
      </c>
      <c r="F917" s="90">
        <f>Meters!$G$47</f>
        <v>49194750.258011512</v>
      </c>
      <c r="G917" s="90">
        <f>Meters!$G$10</f>
        <v>29676843.635354165</v>
      </c>
      <c r="H917" s="90">
        <f>Meters!$G$12</f>
        <v>43420.514033874999</v>
      </c>
      <c r="I917" s="90">
        <f>Meters!$G$14+Meters!$G$16</f>
        <v>11993012.715613034</v>
      </c>
      <c r="J917" s="90">
        <f>Meters!$G$18+Meters!$G$20</f>
        <v>244802.63237858255</v>
      </c>
      <c r="K917" s="90">
        <f>Meters!$G$22</f>
        <v>3749766.7077880916</v>
      </c>
      <c r="L917" s="90">
        <f>Meters!$G$24</f>
        <v>733308.08051836654</v>
      </c>
      <c r="M917" s="90">
        <f>Meters!$G$26</f>
        <v>670690.66895021172</v>
      </c>
      <c r="N917" s="90">
        <f>Meters!$G$28</f>
        <v>1299034.4739233158</v>
      </c>
      <c r="O917" s="90">
        <f>Meters!$G$30</f>
        <v>644052.01482892304</v>
      </c>
      <c r="P917" s="90">
        <f>Meters!$G$32</f>
        <v>39757.048914100007</v>
      </c>
      <c r="Q917" s="90">
        <f>Meters!$G$34</f>
        <v>0</v>
      </c>
      <c r="R917" s="90">
        <f>Meters!$G$36</f>
        <v>7256.3489603999997</v>
      </c>
      <c r="S917" s="90">
        <f>Meters!$G$38</f>
        <v>89427.782095300005</v>
      </c>
      <c r="T917" s="90">
        <f>Meters!$G$40</f>
        <v>3377.634653152787</v>
      </c>
      <c r="U917" s="90">
        <f>Meters!$G$42</f>
        <v>0</v>
      </c>
      <c r="V917" s="90">
        <f>Meters!$G$44</f>
        <v>0</v>
      </c>
      <c r="W917" s="106">
        <v>0</v>
      </c>
      <c r="X917" s="94">
        <f>SUM(G917:W917)</f>
        <v>49194750.25801152</v>
      </c>
      <c r="Y917" s="87" t="str">
        <f t="shared" ref="Y917:Y922" si="548">IF(ABS(F917-X917)&lt;0.01,"ok","err")</f>
        <v>ok</v>
      </c>
      <c r="Z917" s="91" t="str">
        <f t="shared" ref="Z917:Z922" si="549">IF(Y917="err",X917-F917,"")</f>
        <v/>
      </c>
    </row>
    <row r="918" spans="1:26" ht="12" customHeight="1" x14ac:dyDescent="0.5">
      <c r="A918" s="86" t="s">
        <v>2427</v>
      </c>
      <c r="F918" s="91">
        <f>F160</f>
        <v>45031431.200968683</v>
      </c>
      <c r="G918" s="90"/>
      <c r="H918" s="90"/>
      <c r="I918" s="90"/>
      <c r="J918" s="90"/>
      <c r="K918" s="90"/>
      <c r="L918" s="90"/>
      <c r="M918" s="90"/>
      <c r="N918" s="90"/>
      <c r="O918" s="90"/>
      <c r="P918" s="90"/>
      <c r="Q918" s="90"/>
      <c r="R918" s="90"/>
      <c r="S918" s="90"/>
      <c r="T918" s="90"/>
      <c r="U918" s="90"/>
      <c r="V918" s="90"/>
      <c r="W918" s="90">
        <f>W914</f>
        <v>0</v>
      </c>
      <c r="X918" s="94">
        <f>F918</f>
        <v>45031431.200968683</v>
      </c>
      <c r="Y918" s="87" t="str">
        <f t="shared" si="548"/>
        <v>ok</v>
      </c>
      <c r="Z918" s="91" t="str">
        <f t="shared" si="549"/>
        <v/>
      </c>
    </row>
    <row r="919" spans="1:26" ht="12" customHeight="1" x14ac:dyDescent="0.5">
      <c r="A919" s="86" t="s">
        <v>849</v>
      </c>
      <c r="F919" s="91">
        <v>89398.82</v>
      </c>
      <c r="G919" s="91"/>
      <c r="H919" s="91"/>
      <c r="I919" s="91"/>
      <c r="J919" s="91"/>
      <c r="K919" s="91"/>
      <c r="L919" s="91"/>
      <c r="M919" s="91"/>
      <c r="N919" s="91"/>
      <c r="O919" s="91"/>
      <c r="P919" s="91"/>
      <c r="Q919" s="91"/>
      <c r="R919" s="91"/>
      <c r="S919" s="91"/>
      <c r="T919" s="91"/>
      <c r="U919" s="91">
        <f>U912-30614</f>
        <v>89398.82</v>
      </c>
      <c r="V919" s="91">
        <v>0</v>
      </c>
      <c r="W919" s="91"/>
      <c r="X919" s="94">
        <f>SUM(G919:W919)</f>
        <v>89398.82</v>
      </c>
      <c r="Y919" s="87" t="str">
        <f t="shared" si="548"/>
        <v>ok</v>
      </c>
      <c r="Z919" s="91" t="str">
        <f t="shared" si="549"/>
        <v/>
      </c>
    </row>
    <row r="920" spans="1:26" ht="12" customHeight="1" x14ac:dyDescent="0.5">
      <c r="A920" s="86" t="s">
        <v>2428</v>
      </c>
      <c r="E920" s="86" t="s">
        <v>2434</v>
      </c>
      <c r="F920" s="91">
        <f>F918-F919</f>
        <v>44942032.380968682</v>
      </c>
      <c r="G920" s="89">
        <f t="shared" ref="G920:W920" si="550">IF(VLOOKUP($E920,$D$5:$AK$997,3,)=0,0,(VLOOKUP($E920,$D$5:$AK$997,G$1,)/VLOOKUP($E920,$D$5:$AK$997,3,))*$F920)</f>
        <v>27111382.020032272</v>
      </c>
      <c r="H920" s="89">
        <f t="shared" si="550"/>
        <v>39666.959126211295</v>
      </c>
      <c r="I920" s="89">
        <f t="shared" si="550"/>
        <v>10956257.791402729</v>
      </c>
      <c r="J920" s="89">
        <f t="shared" si="550"/>
        <v>223640.28221716467</v>
      </c>
      <c r="K920" s="89">
        <f t="shared" si="550"/>
        <v>3425612.2029005811</v>
      </c>
      <c r="L920" s="89">
        <f t="shared" si="550"/>
        <v>669916.10541849176</v>
      </c>
      <c r="M920" s="89">
        <f t="shared" si="550"/>
        <v>612711.75488212204</v>
      </c>
      <c r="N920" s="89">
        <f t="shared" si="550"/>
        <v>1186737.387320077</v>
      </c>
      <c r="O920" s="89">
        <f t="shared" si="550"/>
        <v>588375.92128553998</v>
      </c>
      <c r="P920" s="89">
        <f t="shared" si="550"/>
        <v>36320.188034255923</v>
      </c>
      <c r="Q920" s="89">
        <f t="shared" si="550"/>
        <v>0</v>
      </c>
      <c r="R920" s="89">
        <f t="shared" si="550"/>
        <v>6629.0624149026235</v>
      </c>
      <c r="S920" s="89">
        <f t="shared" si="550"/>
        <v>81697.056242920298</v>
      </c>
      <c r="T920" s="89">
        <f t="shared" si="550"/>
        <v>3085.6496914191316</v>
      </c>
      <c r="U920" s="89">
        <f t="shared" si="550"/>
        <v>0</v>
      </c>
      <c r="V920" s="89">
        <f t="shared" si="550"/>
        <v>0</v>
      </c>
      <c r="W920" s="89">
        <f t="shared" si="550"/>
        <v>0</v>
      </c>
      <c r="X920" s="94">
        <f>SUM(G920:W920)</f>
        <v>44942032.380968682</v>
      </c>
      <c r="Y920" s="87" t="str">
        <f t="shared" si="548"/>
        <v>ok</v>
      </c>
      <c r="Z920" s="91" t="str">
        <f t="shared" si="549"/>
        <v/>
      </c>
    </row>
    <row r="921" spans="1:26" ht="12" customHeight="1" x14ac:dyDescent="0.5">
      <c r="A921" s="86" t="s">
        <v>2429</v>
      </c>
      <c r="D921" s="86" t="s">
        <v>2435</v>
      </c>
      <c r="F921" s="91">
        <f t="shared" ref="F921:W921" si="551">F919+F920</f>
        <v>45031431.200968683</v>
      </c>
      <c r="G921" s="91">
        <f t="shared" si="551"/>
        <v>27111382.020032272</v>
      </c>
      <c r="H921" s="91">
        <f t="shared" ref="H921" si="552">H919+H920</f>
        <v>39666.959126211295</v>
      </c>
      <c r="I921" s="91">
        <f t="shared" si="551"/>
        <v>10956257.791402729</v>
      </c>
      <c r="J921" s="91">
        <f t="shared" si="551"/>
        <v>223640.28221716467</v>
      </c>
      <c r="K921" s="91">
        <f t="shared" si="551"/>
        <v>3425612.2029005811</v>
      </c>
      <c r="L921" s="91">
        <f t="shared" si="551"/>
        <v>669916.10541849176</v>
      </c>
      <c r="M921" s="91">
        <f t="shared" si="551"/>
        <v>612711.75488212204</v>
      </c>
      <c r="N921" s="91">
        <f t="shared" si="551"/>
        <v>1186737.387320077</v>
      </c>
      <c r="O921" s="91">
        <f t="shared" si="551"/>
        <v>588375.92128553998</v>
      </c>
      <c r="P921" s="91">
        <f t="shared" si="551"/>
        <v>36320.188034255923</v>
      </c>
      <c r="Q921" s="91">
        <f t="shared" si="551"/>
        <v>0</v>
      </c>
      <c r="R921" s="91">
        <f t="shared" si="551"/>
        <v>6629.0624149026235</v>
      </c>
      <c r="S921" s="91">
        <f t="shared" si="551"/>
        <v>81697.056242920298</v>
      </c>
      <c r="T921" s="91">
        <f t="shared" si="551"/>
        <v>3085.6496914191316</v>
      </c>
      <c r="U921" s="91">
        <f t="shared" si="551"/>
        <v>89398.82</v>
      </c>
      <c r="V921" s="91">
        <f t="shared" si="551"/>
        <v>0</v>
      </c>
      <c r="W921" s="91">
        <f t="shared" si="551"/>
        <v>0</v>
      </c>
      <c r="X921" s="94">
        <f>SUM(G921:W921)</f>
        <v>45031431.200968683</v>
      </c>
      <c r="Y921" s="87" t="str">
        <f t="shared" si="548"/>
        <v>ok</v>
      </c>
      <c r="Z921" s="91" t="str">
        <f t="shared" si="549"/>
        <v/>
      </c>
    </row>
    <row r="922" spans="1:26" ht="12" customHeight="1" x14ac:dyDescent="0.5">
      <c r="A922" s="86" t="s">
        <v>2430</v>
      </c>
      <c r="D922" s="86" t="s">
        <v>2436</v>
      </c>
      <c r="E922" s="86" t="s">
        <v>2435</v>
      </c>
      <c r="F922" s="107">
        <v>1</v>
      </c>
      <c r="G922" s="106">
        <f t="shared" ref="G922:W922" si="553">IF(VLOOKUP($E922,$D$5:$AK$997,3,)=0,0,(VLOOKUP($E922,$D$5:$AK$997,G$1,)/VLOOKUP($E922,$D$5:$AK$997,3,))*$F922)</f>
        <v>0.60205463821565308</v>
      </c>
      <c r="H922" s="106">
        <f t="shared" si="553"/>
        <v>8.8087271641852703E-4</v>
      </c>
      <c r="I922" s="106">
        <f t="shared" si="553"/>
        <v>0.24330245562275282</v>
      </c>
      <c r="J922" s="106">
        <f t="shared" si="553"/>
        <v>4.9663152214525635E-3</v>
      </c>
      <c r="K922" s="106">
        <f t="shared" si="553"/>
        <v>7.6071581816100298E-2</v>
      </c>
      <c r="L922" s="106">
        <f t="shared" si="553"/>
        <v>1.4876633665689067E-2</v>
      </c>
      <c r="M922" s="106">
        <f t="shared" si="553"/>
        <v>1.3606313158195644E-2</v>
      </c>
      <c r="N922" s="106">
        <f t="shared" si="553"/>
        <v>2.6353534757175313E-2</v>
      </c>
      <c r="O922" s="106">
        <f t="shared" si="553"/>
        <v>1.3065894323005289E-2</v>
      </c>
      <c r="P922" s="106">
        <f t="shared" si="553"/>
        <v>8.0655193640557957E-4</v>
      </c>
      <c r="Q922" s="106">
        <f t="shared" si="553"/>
        <v>0</v>
      </c>
      <c r="R922" s="106">
        <f t="shared" si="553"/>
        <v>1.4720967639953722E-4</v>
      </c>
      <c r="S922" s="106">
        <f t="shared" si="553"/>
        <v>1.8142229563683709E-3</v>
      </c>
      <c r="T922" s="106">
        <f t="shared" si="553"/>
        <v>6.8522132411211382E-5</v>
      </c>
      <c r="U922" s="106">
        <f t="shared" si="553"/>
        <v>1.9852538019728078E-3</v>
      </c>
      <c r="V922" s="106">
        <f t="shared" si="553"/>
        <v>0</v>
      </c>
      <c r="W922" s="106">
        <f t="shared" si="553"/>
        <v>0</v>
      </c>
      <c r="X922" s="98">
        <f>SUM(G922:W922)</f>
        <v>1.0000000000000002</v>
      </c>
      <c r="Y922" s="87" t="str">
        <f t="shared" si="548"/>
        <v>ok</v>
      </c>
      <c r="Z922" s="91" t="str">
        <f t="shared" si="549"/>
        <v/>
      </c>
    </row>
    <row r="923" spans="1:26" ht="12" customHeight="1" x14ac:dyDescent="0.5">
      <c r="F923" s="107"/>
      <c r="G923" s="106"/>
      <c r="H923" s="106"/>
      <c r="I923" s="106"/>
      <c r="J923" s="106"/>
      <c r="K923" s="106"/>
      <c r="L923" s="106"/>
      <c r="M923" s="106"/>
      <c r="N923" s="106"/>
      <c r="O923" s="106"/>
      <c r="P923" s="106"/>
      <c r="Q923" s="106"/>
      <c r="R923" s="106"/>
      <c r="S923" s="106"/>
      <c r="T923" s="106"/>
      <c r="U923" s="106"/>
      <c r="V923" s="106"/>
      <c r="W923" s="106"/>
      <c r="X923" s="98"/>
      <c r="Y923" s="87"/>
      <c r="Z923" s="91"/>
    </row>
    <row r="924" spans="1:26" ht="12" customHeight="1" x14ac:dyDescent="0.5">
      <c r="A924" s="86" t="s">
        <v>2437</v>
      </c>
      <c r="D924" s="86" t="s">
        <v>2455</v>
      </c>
      <c r="F924" s="90">
        <f>Meters!$G$47</f>
        <v>49194750.258011512</v>
      </c>
      <c r="G924" s="90">
        <f>Meters!$G$10</f>
        <v>29676843.635354165</v>
      </c>
      <c r="H924" s="90">
        <f>Meters!$G$12</f>
        <v>43420.514033874999</v>
      </c>
      <c r="I924" s="90">
        <f>Meters!$G$14+Meters!$G$16</f>
        <v>11993012.715613034</v>
      </c>
      <c r="J924" s="90">
        <f>Meters!$G$18+Meters!$G$20</f>
        <v>244802.63237858255</v>
      </c>
      <c r="K924" s="90">
        <f>Meters!$G$22</f>
        <v>3749766.7077880916</v>
      </c>
      <c r="L924" s="90">
        <f>Meters!$G$24</f>
        <v>733308.08051836654</v>
      </c>
      <c r="M924" s="90">
        <f>Meters!$G$26</f>
        <v>670690.66895021172</v>
      </c>
      <c r="N924" s="90">
        <f>Meters!$G$28</f>
        <v>1299034.4739233158</v>
      </c>
      <c r="O924" s="90">
        <f>Meters!$G$30</f>
        <v>644052.01482892304</v>
      </c>
      <c r="P924" s="90">
        <f>Meters!$G$32</f>
        <v>39757.048914100007</v>
      </c>
      <c r="Q924" s="90">
        <f>Meters!$G$34</f>
        <v>0</v>
      </c>
      <c r="R924" s="90">
        <f>Meters!$G$36</f>
        <v>7256.3489603999997</v>
      </c>
      <c r="S924" s="90">
        <f>Meters!$G$38</f>
        <v>89427.782095300005</v>
      </c>
      <c r="T924" s="90">
        <f>Meters!$G$40</f>
        <v>3377.634653152787</v>
      </c>
      <c r="U924" s="90">
        <f>Meters!$G$42</f>
        <v>0</v>
      </c>
      <c r="V924" s="90">
        <f>Meters!$G$44</f>
        <v>0</v>
      </c>
      <c r="W924" s="106">
        <v>0</v>
      </c>
      <c r="X924" s="94">
        <f>SUM(G924:W924)</f>
        <v>49194750.25801152</v>
      </c>
      <c r="Y924" s="87" t="str">
        <f t="shared" ref="Y924:Y929" si="554">IF(ABS(F924-X924)&lt;0.01,"ok","err")</f>
        <v>ok</v>
      </c>
      <c r="Z924" s="91" t="str">
        <f t="shared" ref="Z924:Z929" si="555">IF(Y924="err",X924-F924,"")</f>
        <v/>
      </c>
    </row>
    <row r="925" spans="1:26" ht="12" customHeight="1" x14ac:dyDescent="0.5">
      <c r="A925" s="86" t="s">
        <v>2438</v>
      </c>
      <c r="F925" s="91">
        <f>F217</f>
        <v>11537187.7496015</v>
      </c>
      <c r="G925" s="90"/>
      <c r="H925" s="90"/>
      <c r="I925" s="90"/>
      <c r="J925" s="90"/>
      <c r="K925" s="90"/>
      <c r="L925" s="90"/>
      <c r="M925" s="90"/>
      <c r="N925" s="90"/>
      <c r="O925" s="90"/>
      <c r="P925" s="90"/>
      <c r="Q925" s="90"/>
      <c r="R925" s="90"/>
      <c r="S925" s="90"/>
      <c r="T925" s="90"/>
      <c r="U925" s="90"/>
      <c r="V925" s="90"/>
      <c r="W925" s="90">
        <f>W921</f>
        <v>0</v>
      </c>
      <c r="X925" s="94">
        <f>F925</f>
        <v>11537187.7496015</v>
      </c>
      <c r="Y925" s="87" t="str">
        <f t="shared" si="554"/>
        <v>ok</v>
      </c>
      <c r="Z925" s="91" t="str">
        <f t="shared" si="555"/>
        <v/>
      </c>
    </row>
    <row r="926" spans="1:26" ht="12" customHeight="1" x14ac:dyDescent="0.5">
      <c r="A926" s="86" t="s">
        <v>849</v>
      </c>
      <c r="F926" s="91">
        <v>0</v>
      </c>
      <c r="G926" s="91"/>
      <c r="H926" s="91"/>
      <c r="I926" s="91"/>
      <c r="J926" s="91"/>
      <c r="K926" s="91"/>
      <c r="L926" s="91"/>
      <c r="M926" s="91"/>
      <c r="N926" s="91"/>
      <c r="O926" s="91"/>
      <c r="P926" s="91"/>
      <c r="Q926" s="91"/>
      <c r="R926" s="91"/>
      <c r="S926" s="91"/>
      <c r="T926" s="91"/>
      <c r="U926" s="91">
        <v>0</v>
      </c>
      <c r="V926" s="91">
        <v>0</v>
      </c>
      <c r="W926" s="91"/>
      <c r="X926" s="94">
        <f>SUM(G926:W926)</f>
        <v>0</v>
      </c>
      <c r="Y926" s="87" t="str">
        <f t="shared" si="554"/>
        <v>ok</v>
      </c>
      <c r="Z926" s="91" t="str">
        <f t="shared" si="555"/>
        <v/>
      </c>
    </row>
    <row r="927" spans="1:26" ht="12" customHeight="1" x14ac:dyDescent="0.5">
      <c r="A927" s="86" t="s">
        <v>2439</v>
      </c>
      <c r="E927" s="86" t="s">
        <v>2455</v>
      </c>
      <c r="F927" s="91">
        <f>F925-F926</f>
        <v>11537187.7496015</v>
      </c>
      <c r="G927" s="89">
        <f t="shared" ref="G927:W927" si="556">IF(VLOOKUP($E927,$D$5:$AK$997,3,)=0,0,(VLOOKUP($E927,$D$5:$AK$997,G$1,)/VLOOKUP($E927,$D$5:$AK$997,3,))*$F927)</f>
        <v>6959834.434384359</v>
      </c>
      <c r="H927" s="89">
        <f t="shared" si="556"/>
        <v>10183.009771686793</v>
      </c>
      <c r="I927" s="89">
        <f t="shared" si="556"/>
        <v>2812609.8548666267</v>
      </c>
      <c r="J927" s="89">
        <f t="shared" si="556"/>
        <v>57411.287109612495</v>
      </c>
      <c r="K927" s="89">
        <f t="shared" si="556"/>
        <v>879397.94994509628</v>
      </c>
      <c r="L927" s="89">
        <f t="shared" si="556"/>
        <v>171975.93155506469</v>
      </c>
      <c r="M927" s="89">
        <f t="shared" si="556"/>
        <v>157290.85174742359</v>
      </c>
      <c r="N927" s="89">
        <f t="shared" si="556"/>
        <v>304650.48689656466</v>
      </c>
      <c r="O927" s="89">
        <f t="shared" si="556"/>
        <v>151043.53567442548</v>
      </c>
      <c r="P927" s="89">
        <f t="shared" si="556"/>
        <v>9323.8513314205538</v>
      </c>
      <c r="Q927" s="89">
        <f t="shared" si="556"/>
        <v>0</v>
      </c>
      <c r="R927" s="89">
        <f t="shared" si="556"/>
        <v>1701.7641088466905</v>
      </c>
      <c r="S927" s="89">
        <f t="shared" si="556"/>
        <v>20972.666934027271</v>
      </c>
      <c r="T927" s="89">
        <f t="shared" si="556"/>
        <v>792.12527634770788</v>
      </c>
      <c r="U927" s="89">
        <f t="shared" si="556"/>
        <v>0</v>
      </c>
      <c r="V927" s="89">
        <f t="shared" si="556"/>
        <v>0</v>
      </c>
      <c r="W927" s="89">
        <f t="shared" si="556"/>
        <v>0</v>
      </c>
      <c r="X927" s="94">
        <f>SUM(G927:W927)</f>
        <v>11537187.7496015</v>
      </c>
      <c r="Y927" s="87" t="str">
        <f t="shared" si="554"/>
        <v>ok</v>
      </c>
      <c r="Z927" s="91" t="str">
        <f t="shared" si="555"/>
        <v/>
      </c>
    </row>
    <row r="928" spans="1:26" ht="12" customHeight="1" x14ac:dyDescent="0.5">
      <c r="A928" s="86" t="s">
        <v>2440</v>
      </c>
      <c r="D928" s="86" t="s">
        <v>2456</v>
      </c>
      <c r="F928" s="91">
        <f t="shared" ref="F928:W928" si="557">F926+F927</f>
        <v>11537187.7496015</v>
      </c>
      <c r="G928" s="91">
        <f t="shared" si="557"/>
        <v>6959834.434384359</v>
      </c>
      <c r="H928" s="91">
        <f t="shared" ref="H928" si="558">H926+H927</f>
        <v>10183.009771686793</v>
      </c>
      <c r="I928" s="91">
        <f t="shared" si="557"/>
        <v>2812609.8548666267</v>
      </c>
      <c r="J928" s="91">
        <f t="shared" si="557"/>
        <v>57411.287109612495</v>
      </c>
      <c r="K928" s="91">
        <f t="shared" si="557"/>
        <v>879397.94994509628</v>
      </c>
      <c r="L928" s="91">
        <f t="shared" si="557"/>
        <v>171975.93155506469</v>
      </c>
      <c r="M928" s="91">
        <f t="shared" si="557"/>
        <v>157290.85174742359</v>
      </c>
      <c r="N928" s="91">
        <f t="shared" si="557"/>
        <v>304650.48689656466</v>
      </c>
      <c r="O928" s="91">
        <f t="shared" si="557"/>
        <v>151043.53567442548</v>
      </c>
      <c r="P928" s="91">
        <f t="shared" si="557"/>
        <v>9323.8513314205538</v>
      </c>
      <c r="Q928" s="91">
        <f t="shared" si="557"/>
        <v>0</v>
      </c>
      <c r="R928" s="91">
        <f t="shared" si="557"/>
        <v>1701.7641088466905</v>
      </c>
      <c r="S928" s="91">
        <f t="shared" si="557"/>
        <v>20972.666934027271</v>
      </c>
      <c r="T928" s="91">
        <f t="shared" si="557"/>
        <v>792.12527634770788</v>
      </c>
      <c r="U928" s="91">
        <f t="shared" si="557"/>
        <v>0</v>
      </c>
      <c r="V928" s="91">
        <f t="shared" si="557"/>
        <v>0</v>
      </c>
      <c r="W928" s="91">
        <f t="shared" si="557"/>
        <v>0</v>
      </c>
      <c r="X928" s="94">
        <f>SUM(G928:W928)</f>
        <v>11537187.7496015</v>
      </c>
      <c r="Y928" s="87" t="str">
        <f t="shared" si="554"/>
        <v>ok</v>
      </c>
      <c r="Z928" s="91" t="str">
        <f t="shared" si="555"/>
        <v/>
      </c>
    </row>
    <row r="929" spans="1:26" ht="12" customHeight="1" x14ac:dyDescent="0.5">
      <c r="A929" s="86" t="s">
        <v>2441</v>
      </c>
      <c r="D929" s="86" t="s">
        <v>2457</v>
      </c>
      <c r="E929" s="86" t="s">
        <v>2456</v>
      </c>
      <c r="F929" s="107">
        <v>1</v>
      </c>
      <c r="G929" s="106">
        <f t="shared" ref="G929:W929" si="559">IF(VLOOKUP($E929,$D$5:$AK$997,3,)=0,0,(VLOOKUP($E929,$D$5:$AK$997,G$1,)/VLOOKUP($E929,$D$5:$AK$997,3,))*$F929)</f>
        <v>0.60325224703262326</v>
      </c>
      <c r="H929" s="106">
        <f t="shared" si="559"/>
        <v>8.826249509581327E-4</v>
      </c>
      <c r="I929" s="106">
        <f t="shared" si="559"/>
        <v>0.24378643356686083</v>
      </c>
      <c r="J929" s="106">
        <f t="shared" si="559"/>
        <v>4.976194229966961E-3</v>
      </c>
      <c r="K929" s="106">
        <f t="shared" si="559"/>
        <v>7.6222903625319874E-2</v>
      </c>
      <c r="L929" s="106">
        <f t="shared" si="559"/>
        <v>1.4906226308140371E-2</v>
      </c>
      <c r="M929" s="106">
        <f t="shared" si="559"/>
        <v>1.3633378875441849E-2</v>
      </c>
      <c r="N929" s="106">
        <f t="shared" si="559"/>
        <v>2.6405957284268641E-2</v>
      </c>
      <c r="O929" s="106">
        <f t="shared" si="559"/>
        <v>1.309188503755108E-2</v>
      </c>
      <c r="P929" s="106">
        <f t="shared" si="559"/>
        <v>8.0815633183594542E-4</v>
      </c>
      <c r="Q929" s="106">
        <f t="shared" si="559"/>
        <v>0</v>
      </c>
      <c r="R929" s="106">
        <f t="shared" si="559"/>
        <v>1.4750250631099163E-4</v>
      </c>
      <c r="S929" s="106">
        <f t="shared" si="559"/>
        <v>1.8178318138882396E-3</v>
      </c>
      <c r="T929" s="106">
        <f t="shared" si="559"/>
        <v>6.8658436833973541E-5</v>
      </c>
      <c r="U929" s="106">
        <f t="shared" si="559"/>
        <v>0</v>
      </c>
      <c r="V929" s="106">
        <f t="shared" si="559"/>
        <v>0</v>
      </c>
      <c r="W929" s="106">
        <f t="shared" si="559"/>
        <v>0</v>
      </c>
      <c r="X929" s="98">
        <f>SUM(G929:W929)</f>
        <v>1.0000000000000002</v>
      </c>
      <c r="Y929" s="87" t="str">
        <f t="shared" si="554"/>
        <v>ok</v>
      </c>
      <c r="Z929" s="91" t="str">
        <f t="shared" si="555"/>
        <v/>
      </c>
    </row>
    <row r="930" spans="1:26" ht="12" customHeight="1" x14ac:dyDescent="0.5">
      <c r="F930" s="107"/>
      <c r="G930" s="106"/>
      <c r="H930" s="106"/>
      <c r="I930" s="106"/>
      <c r="J930" s="106"/>
      <c r="K930" s="106"/>
      <c r="L930" s="106"/>
      <c r="M930" s="106"/>
      <c r="N930" s="106"/>
      <c r="O930" s="106"/>
      <c r="P930" s="106"/>
      <c r="Q930" s="106"/>
      <c r="R930" s="106"/>
      <c r="S930" s="106"/>
      <c r="T930" s="106"/>
      <c r="U930" s="106"/>
      <c r="V930" s="106"/>
      <c r="W930" s="106"/>
      <c r="X930" s="98"/>
      <c r="Y930" s="87"/>
      <c r="Z930" s="91"/>
    </row>
    <row r="931" spans="1:26" ht="12" customHeight="1" x14ac:dyDescent="0.5">
      <c r="A931" s="86" t="s">
        <v>2442</v>
      </c>
      <c r="D931" s="86" t="s">
        <v>2458</v>
      </c>
      <c r="F931" s="90">
        <f>Meters!$G$47</f>
        <v>49194750.258011512</v>
      </c>
      <c r="G931" s="90">
        <f>Meters!$G$10</f>
        <v>29676843.635354165</v>
      </c>
      <c r="H931" s="90">
        <f>Meters!$G$12</f>
        <v>43420.514033874999</v>
      </c>
      <c r="I931" s="90">
        <f>Meters!$G$14+Meters!$G$16</f>
        <v>11993012.715613034</v>
      </c>
      <c r="J931" s="90">
        <f>Meters!$G$18+Meters!$G$20</f>
        <v>244802.63237858255</v>
      </c>
      <c r="K931" s="90">
        <f>Meters!$G$22</f>
        <v>3749766.7077880916</v>
      </c>
      <c r="L931" s="90">
        <f>Meters!$G$24</f>
        <v>733308.08051836654</v>
      </c>
      <c r="M931" s="90">
        <f>Meters!$G$26</f>
        <v>670690.66895021172</v>
      </c>
      <c r="N931" s="90">
        <f>Meters!$G$28</f>
        <v>1299034.4739233158</v>
      </c>
      <c r="O931" s="90">
        <f>Meters!$G$30</f>
        <v>644052.01482892304</v>
      </c>
      <c r="P931" s="90">
        <f>Meters!$G$32</f>
        <v>39757.048914100007</v>
      </c>
      <c r="Q931" s="90">
        <f>Meters!$G$34</f>
        <v>0</v>
      </c>
      <c r="R931" s="90">
        <f>Meters!$G$36</f>
        <v>7256.3489603999997</v>
      </c>
      <c r="S931" s="90">
        <f>Meters!$G$38</f>
        <v>89427.782095300005</v>
      </c>
      <c r="T931" s="90">
        <f>Meters!$G$40</f>
        <v>3377.634653152787</v>
      </c>
      <c r="U931" s="90">
        <f>Meters!$G$42</f>
        <v>0</v>
      </c>
      <c r="V931" s="90">
        <f>Meters!$G$44</f>
        <v>0</v>
      </c>
      <c r="W931" s="106">
        <v>0</v>
      </c>
      <c r="X931" s="94">
        <f>SUM(G931:W931)</f>
        <v>49194750.25801152</v>
      </c>
      <c r="Y931" s="87" t="str">
        <f t="shared" ref="Y931:Y936" si="560">IF(ABS(F931-X931)&lt;0.01,"ok","err")</f>
        <v>ok</v>
      </c>
      <c r="Z931" s="91" t="str">
        <f t="shared" ref="Z931:Z936" si="561">IF(Y931="err",X931-F931,"")</f>
        <v/>
      </c>
    </row>
    <row r="932" spans="1:26" ht="12" customHeight="1" x14ac:dyDescent="0.5">
      <c r="A932" s="86" t="s">
        <v>2443</v>
      </c>
      <c r="F932" s="91">
        <f>F331</f>
        <v>1599033.2051107571</v>
      </c>
      <c r="G932" s="90"/>
      <c r="H932" s="90"/>
      <c r="I932" s="90"/>
      <c r="J932" s="90"/>
      <c r="K932" s="90"/>
      <c r="L932" s="90"/>
      <c r="M932" s="90"/>
      <c r="N932" s="90"/>
      <c r="O932" s="90"/>
      <c r="P932" s="90"/>
      <c r="Q932" s="90"/>
      <c r="R932" s="90"/>
      <c r="S932" s="90"/>
      <c r="T932" s="90"/>
      <c r="U932" s="90"/>
      <c r="V932" s="90"/>
      <c r="W932" s="90">
        <f>W928</f>
        <v>0</v>
      </c>
      <c r="X932" s="94">
        <f>F932</f>
        <v>1599033.2051107571</v>
      </c>
      <c r="Y932" s="87" t="str">
        <f t="shared" si="560"/>
        <v>ok</v>
      </c>
      <c r="Z932" s="91" t="str">
        <f t="shared" si="561"/>
        <v/>
      </c>
    </row>
    <row r="933" spans="1:26" ht="12" customHeight="1" x14ac:dyDescent="0.5">
      <c r="A933" s="86" t="s">
        <v>849</v>
      </c>
      <c r="F933" s="91">
        <v>15923.380999999999</v>
      </c>
      <c r="G933" s="91"/>
      <c r="H933" s="91"/>
      <c r="I933" s="91"/>
      <c r="J933" s="91"/>
      <c r="K933" s="91"/>
      <c r="L933" s="91"/>
      <c r="M933" s="91"/>
      <c r="N933" s="91"/>
      <c r="O933" s="91"/>
      <c r="P933" s="91"/>
      <c r="Q933" s="91"/>
      <c r="R933" s="91"/>
      <c r="S933" s="91"/>
      <c r="T933" s="91"/>
      <c r="U933" s="91">
        <v>15923.380999999999</v>
      </c>
      <c r="V933" s="91">
        <v>0</v>
      </c>
      <c r="W933" s="91"/>
      <c r="X933" s="94">
        <f>SUM(G933:W933)</f>
        <v>15923.380999999999</v>
      </c>
      <c r="Y933" s="87" t="str">
        <f t="shared" si="560"/>
        <v>ok</v>
      </c>
      <c r="Z933" s="91" t="str">
        <f t="shared" si="561"/>
        <v/>
      </c>
    </row>
    <row r="934" spans="1:26" ht="12" customHeight="1" x14ac:dyDescent="0.5">
      <c r="A934" s="86" t="s">
        <v>2444</v>
      </c>
      <c r="E934" s="86" t="s">
        <v>2458</v>
      </c>
      <c r="F934" s="91">
        <f>F932-F933</f>
        <v>1583109.8241107571</v>
      </c>
      <c r="G934" s="89">
        <f t="shared" ref="G934:W934" si="562">IF(VLOOKUP($E934,$D$5:$AK$997,3,)=0,0,(VLOOKUP($E934,$D$5:$AK$997,G$1,)/VLOOKUP($E934,$D$5:$AK$997,3,))*$F934)</f>
        <v>955014.55869423517</v>
      </c>
      <c r="H934" s="89">
        <f t="shared" si="562"/>
        <v>1397.292230867095</v>
      </c>
      <c r="I934" s="89">
        <f t="shared" si="562"/>
        <v>385940.69796462182</v>
      </c>
      <c r="J934" s="89">
        <f t="shared" si="562"/>
        <v>7877.86197214396</v>
      </c>
      <c r="K934" s="89">
        <f t="shared" si="562"/>
        <v>120669.22755149133</v>
      </c>
      <c r="L934" s="89">
        <f t="shared" si="562"/>
        <v>23598.193308835242</v>
      </c>
      <c r="M934" s="89">
        <f t="shared" si="562"/>
        <v>21583.136033536059</v>
      </c>
      <c r="N934" s="89">
        <f t="shared" si="562"/>
        <v>41803.530391774693</v>
      </c>
      <c r="O934" s="89">
        <f t="shared" si="562"/>
        <v>20725.891819075743</v>
      </c>
      <c r="P934" s="89">
        <f t="shared" si="562"/>
        <v>1279.400228346798</v>
      </c>
      <c r="Q934" s="89">
        <f t="shared" si="562"/>
        <v>0</v>
      </c>
      <c r="R934" s="89">
        <f t="shared" si="562"/>
        <v>233.51266682188978</v>
      </c>
      <c r="S934" s="89">
        <f t="shared" si="562"/>
        <v>2877.8274031475494</v>
      </c>
      <c r="T934" s="89">
        <f t="shared" si="562"/>
        <v>108.69384585995138</v>
      </c>
      <c r="U934" s="89">
        <f t="shared" si="562"/>
        <v>0</v>
      </c>
      <c r="V934" s="89">
        <f t="shared" si="562"/>
        <v>0</v>
      </c>
      <c r="W934" s="89">
        <f t="shared" si="562"/>
        <v>0</v>
      </c>
      <c r="X934" s="94">
        <f>SUM(G934:W934)</f>
        <v>1583109.8241107569</v>
      </c>
      <c r="Y934" s="87" t="str">
        <f t="shared" si="560"/>
        <v>ok</v>
      </c>
      <c r="Z934" s="91" t="str">
        <f t="shared" si="561"/>
        <v/>
      </c>
    </row>
    <row r="935" spans="1:26" ht="12" customHeight="1" x14ac:dyDescent="0.5">
      <c r="A935" s="86" t="s">
        <v>2445</v>
      </c>
      <c r="D935" s="86" t="s">
        <v>2459</v>
      </c>
      <c r="F935" s="91">
        <f t="shared" ref="F935:W935" si="563">F933+F934</f>
        <v>1599033.2051107571</v>
      </c>
      <c r="G935" s="91">
        <f t="shared" si="563"/>
        <v>955014.55869423517</v>
      </c>
      <c r="H935" s="91">
        <f t="shared" ref="H935" si="564">H933+H934</f>
        <v>1397.292230867095</v>
      </c>
      <c r="I935" s="91">
        <f t="shared" si="563"/>
        <v>385940.69796462182</v>
      </c>
      <c r="J935" s="91">
        <f t="shared" si="563"/>
        <v>7877.86197214396</v>
      </c>
      <c r="K935" s="91">
        <f t="shared" si="563"/>
        <v>120669.22755149133</v>
      </c>
      <c r="L935" s="91">
        <f t="shared" si="563"/>
        <v>23598.193308835242</v>
      </c>
      <c r="M935" s="91">
        <f t="shared" si="563"/>
        <v>21583.136033536059</v>
      </c>
      <c r="N935" s="91">
        <f t="shared" si="563"/>
        <v>41803.530391774693</v>
      </c>
      <c r="O935" s="91">
        <f t="shared" si="563"/>
        <v>20725.891819075743</v>
      </c>
      <c r="P935" s="91">
        <f t="shared" si="563"/>
        <v>1279.400228346798</v>
      </c>
      <c r="Q935" s="91">
        <f t="shared" si="563"/>
        <v>0</v>
      </c>
      <c r="R935" s="91">
        <f t="shared" si="563"/>
        <v>233.51266682188978</v>
      </c>
      <c r="S935" s="91">
        <f t="shared" si="563"/>
        <v>2877.8274031475494</v>
      </c>
      <c r="T935" s="91">
        <f t="shared" si="563"/>
        <v>108.69384585995138</v>
      </c>
      <c r="U935" s="91">
        <f t="shared" si="563"/>
        <v>15923.380999999999</v>
      </c>
      <c r="V935" s="91">
        <f t="shared" si="563"/>
        <v>0</v>
      </c>
      <c r="W935" s="91">
        <f t="shared" si="563"/>
        <v>0</v>
      </c>
      <c r="X935" s="94">
        <f>SUM(G935:W935)</f>
        <v>1599033.2051107569</v>
      </c>
      <c r="Y935" s="87" t="str">
        <f t="shared" si="560"/>
        <v>ok</v>
      </c>
      <c r="Z935" s="91" t="str">
        <f t="shared" si="561"/>
        <v/>
      </c>
    </row>
    <row r="936" spans="1:26" ht="12" customHeight="1" x14ac:dyDescent="0.5">
      <c r="A936" s="86" t="s">
        <v>2446</v>
      </c>
      <c r="D936" s="86" t="s">
        <v>2460</v>
      </c>
      <c r="E936" s="86" t="s">
        <v>2459</v>
      </c>
      <c r="F936" s="107">
        <v>1</v>
      </c>
      <c r="G936" s="106">
        <f t="shared" ref="G936:W936" si="565">IF(VLOOKUP($E936,$D$5:$AK$997,3,)=0,0,(VLOOKUP($E936,$D$5:$AK$997,G$1,)/VLOOKUP($E936,$D$5:$AK$997,3,))*$F936)</f>
        <v>0.59724498255687319</v>
      </c>
      <c r="H936" s="106">
        <f t="shared" si="565"/>
        <v>8.7383565669626692E-4</v>
      </c>
      <c r="I936" s="106">
        <f t="shared" si="565"/>
        <v>0.24135877649763351</v>
      </c>
      <c r="J936" s="106">
        <f t="shared" si="565"/>
        <v>4.9266406394595785E-3</v>
      </c>
      <c r="K936" s="106">
        <f t="shared" si="565"/>
        <v>7.5463866019676043E-2</v>
      </c>
      <c r="L936" s="106">
        <f t="shared" si="565"/>
        <v>1.4757788164380684E-2</v>
      </c>
      <c r="M936" s="106">
        <f t="shared" si="565"/>
        <v>1.3497615912260622E-2</v>
      </c>
      <c r="N936" s="106">
        <f t="shared" si="565"/>
        <v>2.6143003321109377E-2</v>
      </c>
      <c r="O936" s="106">
        <f t="shared" si="565"/>
        <v>1.2961514340560653E-2</v>
      </c>
      <c r="P936" s="106">
        <f t="shared" si="565"/>
        <v>8.0010860578606953E-4</v>
      </c>
      <c r="Q936" s="106">
        <f t="shared" si="565"/>
        <v>0</v>
      </c>
      <c r="R936" s="106">
        <f t="shared" si="565"/>
        <v>1.4603365713454055E-4</v>
      </c>
      <c r="S936" s="106">
        <f t="shared" si="565"/>
        <v>1.7997296078340139E-3</v>
      </c>
      <c r="T936" s="106">
        <f t="shared" si="565"/>
        <v>6.7974727174238193E-5</v>
      </c>
      <c r="U936" s="106">
        <f t="shared" si="565"/>
        <v>9.9581302934213089E-3</v>
      </c>
      <c r="V936" s="106">
        <f t="shared" si="565"/>
        <v>0</v>
      </c>
      <c r="W936" s="106">
        <f t="shared" si="565"/>
        <v>0</v>
      </c>
      <c r="X936" s="98">
        <f>SUM(G936:W936)</f>
        <v>1.0000000000000002</v>
      </c>
      <c r="Y936" s="87" t="str">
        <f t="shared" si="560"/>
        <v>ok</v>
      </c>
      <c r="Z936" s="91" t="str">
        <f t="shared" si="561"/>
        <v/>
      </c>
    </row>
    <row r="937" spans="1:26" ht="12.6" customHeight="1" x14ac:dyDescent="0.5">
      <c r="F937" s="107"/>
      <c r="G937" s="106"/>
      <c r="H937" s="106"/>
      <c r="I937" s="106"/>
      <c r="J937" s="106"/>
      <c r="K937" s="106"/>
      <c r="L937" s="106"/>
      <c r="M937" s="106"/>
      <c r="N937" s="106"/>
      <c r="O937" s="106"/>
      <c r="P937" s="106"/>
      <c r="Q937" s="106"/>
      <c r="R937" s="106"/>
      <c r="S937" s="106"/>
      <c r="T937" s="106"/>
      <c r="U937" s="106"/>
      <c r="V937" s="106"/>
      <c r="W937" s="106"/>
      <c r="X937" s="98"/>
      <c r="Y937" s="87"/>
      <c r="Z937" s="91"/>
    </row>
    <row r="938" spans="1:26" ht="12" customHeight="1" x14ac:dyDescent="0.5">
      <c r="A938" s="86" t="s">
        <v>2461</v>
      </c>
      <c r="D938" s="86" t="s">
        <v>2466</v>
      </c>
      <c r="F938" s="90">
        <f>Meters!$G$47</f>
        <v>49194750.258011512</v>
      </c>
      <c r="G938" s="90">
        <f>Meters!$G$10</f>
        <v>29676843.635354165</v>
      </c>
      <c r="H938" s="90">
        <f>Meters!$G$12</f>
        <v>43420.514033874999</v>
      </c>
      <c r="I938" s="90">
        <f>Meters!$G$14+Meters!$G$16</f>
        <v>11993012.715613034</v>
      </c>
      <c r="J938" s="90">
        <f>Meters!$G$18+Meters!$G$20</f>
        <v>244802.63237858255</v>
      </c>
      <c r="K938" s="90">
        <f>Meters!$G$22</f>
        <v>3749766.7077880916</v>
      </c>
      <c r="L938" s="90">
        <f>Meters!$G$24</f>
        <v>733308.08051836654</v>
      </c>
      <c r="M938" s="90">
        <f>Meters!$G$26</f>
        <v>670690.66895021172</v>
      </c>
      <c r="N938" s="90">
        <f>Meters!$G$28</f>
        <v>1299034.4739233158</v>
      </c>
      <c r="O938" s="90">
        <f>Meters!$G$30</f>
        <v>644052.01482892304</v>
      </c>
      <c r="P938" s="90">
        <f>Meters!$G$32</f>
        <v>39757.048914100007</v>
      </c>
      <c r="Q938" s="90">
        <f>Meters!$G$34</f>
        <v>0</v>
      </c>
      <c r="R938" s="90">
        <f>Meters!$G$36</f>
        <v>7256.3489603999997</v>
      </c>
      <c r="S938" s="90">
        <f>Meters!$G$38</f>
        <v>89427.782095300005</v>
      </c>
      <c r="T938" s="90">
        <f>Meters!$G$40</f>
        <v>3377.634653152787</v>
      </c>
      <c r="U938" s="90">
        <f>Meters!$G$42</f>
        <v>0</v>
      </c>
      <c r="V938" s="90">
        <f>Meters!$G$44</f>
        <v>0</v>
      </c>
      <c r="W938" s="106">
        <v>0</v>
      </c>
      <c r="X938" s="94">
        <f>SUM(G938:W938)</f>
        <v>49194750.25801152</v>
      </c>
      <c r="Y938" s="87" t="str">
        <f t="shared" ref="Y938:Y943" si="566">IF(ABS(F938-X938)&lt;0.01,"ok","err")</f>
        <v>ok</v>
      </c>
      <c r="Z938" s="91" t="str">
        <f t="shared" ref="Z938:Z943" si="567">IF(Y938="err",X938-F938,"")</f>
        <v/>
      </c>
    </row>
    <row r="939" spans="1:26" ht="12" customHeight="1" x14ac:dyDescent="0.5">
      <c r="A939" s="86" t="s">
        <v>2462</v>
      </c>
      <c r="F939" s="91">
        <f>F445</f>
        <v>286653.15873077803</v>
      </c>
      <c r="G939" s="90"/>
      <c r="H939" s="90"/>
      <c r="I939" s="90"/>
      <c r="J939" s="90"/>
      <c r="K939" s="90"/>
      <c r="L939" s="90"/>
      <c r="M939" s="90"/>
      <c r="N939" s="90"/>
      <c r="O939" s="90"/>
      <c r="P939" s="90"/>
      <c r="Q939" s="90"/>
      <c r="R939" s="90"/>
      <c r="S939" s="90"/>
      <c r="T939" s="90"/>
      <c r="U939" s="90"/>
      <c r="V939" s="90"/>
      <c r="W939" s="90">
        <f>W935</f>
        <v>0</v>
      </c>
      <c r="X939" s="94">
        <f>F939</f>
        <v>286653.15873077803</v>
      </c>
      <c r="Y939" s="87" t="str">
        <f t="shared" si="566"/>
        <v>ok</v>
      </c>
      <c r="Z939" s="91" t="str">
        <f t="shared" si="567"/>
        <v/>
      </c>
    </row>
    <row r="940" spans="1:26" ht="12" customHeight="1" x14ac:dyDescent="0.5">
      <c r="A940" s="86" t="s">
        <v>849</v>
      </c>
      <c r="F940" s="91">
        <v>1987.4133771948207</v>
      </c>
      <c r="G940" s="91"/>
      <c r="H940" s="91"/>
      <c r="I940" s="91"/>
      <c r="J940" s="91"/>
      <c r="K940" s="91"/>
      <c r="L940" s="91"/>
      <c r="M940" s="91"/>
      <c r="N940" s="91"/>
      <c r="O940" s="91"/>
      <c r="P940" s="91"/>
      <c r="Q940" s="91"/>
      <c r="R940" s="91"/>
      <c r="S940" s="91"/>
      <c r="T940" s="91"/>
      <c r="U940" s="91">
        <f>F940</f>
        <v>1987.4133771948207</v>
      </c>
      <c r="V940" s="91">
        <v>0</v>
      </c>
      <c r="W940" s="91"/>
      <c r="X940" s="94">
        <f>SUM(G940:W940)</f>
        <v>1987.4133771948207</v>
      </c>
      <c r="Y940" s="87" t="str">
        <f t="shared" si="566"/>
        <v>ok</v>
      </c>
      <c r="Z940" s="91" t="str">
        <f t="shared" si="567"/>
        <v/>
      </c>
    </row>
    <row r="941" spans="1:26" ht="12" customHeight="1" x14ac:dyDescent="0.5">
      <c r="A941" s="86" t="s">
        <v>2463</v>
      </c>
      <c r="E941" s="86" t="s">
        <v>2466</v>
      </c>
      <c r="F941" s="91">
        <f>F939-F940</f>
        <v>284665.74535358319</v>
      </c>
      <c r="G941" s="89">
        <f t="shared" ref="G941:W941" si="568">IF(VLOOKUP($E941,$D$5:$AK$997,3,)=0,0,(VLOOKUP($E941,$D$5:$AK$997,G$1,)/VLOOKUP($E941,$D$5:$AK$997,3,))*$F941)</f>
        <v>171725.25053776559</v>
      </c>
      <c r="H941" s="89">
        <f t="shared" si="568"/>
        <v>251.25308953216665</v>
      </c>
      <c r="I941" s="89">
        <f t="shared" si="568"/>
        <v>69397.646818402238</v>
      </c>
      <c r="J941" s="89">
        <f t="shared" si="568"/>
        <v>1416.552039497745</v>
      </c>
      <c r="K941" s="89">
        <f t="shared" si="568"/>
        <v>21698.04967351602</v>
      </c>
      <c r="L941" s="89">
        <f t="shared" si="568"/>
        <v>4243.2920224159689</v>
      </c>
      <c r="M941" s="89">
        <f t="shared" si="568"/>
        <v>3880.95595926545</v>
      </c>
      <c r="N941" s="89">
        <f t="shared" si="568"/>
        <v>7516.8715121012119</v>
      </c>
      <c r="O941" s="89">
        <f t="shared" si="568"/>
        <v>3726.8112122979014</v>
      </c>
      <c r="P941" s="89">
        <f t="shared" si="568"/>
        <v>230.05442456429708</v>
      </c>
      <c r="Q941" s="89">
        <f t="shared" si="568"/>
        <v>0</v>
      </c>
      <c r="R941" s="89">
        <f t="shared" si="568"/>
        <v>41.988910900540041</v>
      </c>
      <c r="S941" s="89">
        <f t="shared" si="568"/>
        <v>517.47444822795183</v>
      </c>
      <c r="T941" s="89">
        <f t="shared" si="568"/>
        <v>19.544705096154988</v>
      </c>
      <c r="U941" s="89">
        <f t="shared" si="568"/>
        <v>0</v>
      </c>
      <c r="V941" s="89">
        <f t="shared" si="568"/>
        <v>0</v>
      </c>
      <c r="W941" s="89">
        <f t="shared" si="568"/>
        <v>0</v>
      </c>
      <c r="X941" s="94">
        <f>SUM(G941:W941)</f>
        <v>284665.74535358325</v>
      </c>
      <c r="Y941" s="87" t="str">
        <f t="shared" si="566"/>
        <v>ok</v>
      </c>
      <c r="Z941" s="91" t="str">
        <f t="shared" si="567"/>
        <v/>
      </c>
    </row>
    <row r="942" spans="1:26" ht="12" customHeight="1" x14ac:dyDescent="0.5">
      <c r="A942" s="86" t="s">
        <v>2464</v>
      </c>
      <c r="D942" s="86" t="s">
        <v>2467</v>
      </c>
      <c r="F942" s="91">
        <f>F940+F941</f>
        <v>286653.15873077803</v>
      </c>
      <c r="G942" s="91">
        <f>G940+G941</f>
        <v>171725.25053776559</v>
      </c>
      <c r="H942" s="91">
        <f>H940+H941</f>
        <v>251.25308953216665</v>
      </c>
      <c r="I942" s="91">
        <f t="shared" ref="I942:W942" si="569">I940+I941</f>
        <v>69397.646818402238</v>
      </c>
      <c r="J942" s="91">
        <f t="shared" si="569"/>
        <v>1416.552039497745</v>
      </c>
      <c r="K942" s="91">
        <f t="shared" si="569"/>
        <v>21698.04967351602</v>
      </c>
      <c r="L942" s="91">
        <f t="shared" si="569"/>
        <v>4243.2920224159689</v>
      </c>
      <c r="M942" s="91">
        <f t="shared" si="569"/>
        <v>3880.95595926545</v>
      </c>
      <c r="N942" s="91">
        <f t="shared" si="569"/>
        <v>7516.8715121012119</v>
      </c>
      <c r="O942" s="91">
        <f t="shared" si="569"/>
        <v>3726.8112122979014</v>
      </c>
      <c r="P942" s="91">
        <f t="shared" si="569"/>
        <v>230.05442456429708</v>
      </c>
      <c r="Q942" s="91">
        <f t="shared" si="569"/>
        <v>0</v>
      </c>
      <c r="R942" s="91">
        <f t="shared" si="569"/>
        <v>41.988910900540041</v>
      </c>
      <c r="S942" s="91">
        <f t="shared" si="569"/>
        <v>517.47444822795183</v>
      </c>
      <c r="T942" s="91">
        <f t="shared" si="569"/>
        <v>19.544705096154988</v>
      </c>
      <c r="U942" s="91">
        <f t="shared" si="569"/>
        <v>1987.4133771948207</v>
      </c>
      <c r="V942" s="91">
        <f t="shared" si="569"/>
        <v>0</v>
      </c>
      <c r="W942" s="91">
        <f t="shared" si="569"/>
        <v>0</v>
      </c>
      <c r="X942" s="94">
        <f>SUM(G942:W942)</f>
        <v>286653.15873077809</v>
      </c>
      <c r="Y942" s="87" t="str">
        <f t="shared" si="566"/>
        <v>ok</v>
      </c>
      <c r="Z942" s="91" t="str">
        <f t="shared" si="567"/>
        <v/>
      </c>
    </row>
    <row r="943" spans="1:26" ht="12" customHeight="1" x14ac:dyDescent="0.5">
      <c r="A943" s="86" t="s">
        <v>2465</v>
      </c>
      <c r="D943" s="86" t="s">
        <v>2468</v>
      </c>
      <c r="E943" s="86" t="s">
        <v>2467</v>
      </c>
      <c r="F943" s="107">
        <v>1</v>
      </c>
      <c r="G943" s="106">
        <f t="shared" ref="G943:W943" si="570">IF(VLOOKUP($E943,$D$5:$AK$997,3,)=0,0,(VLOOKUP($E943,$D$5:$AK$997,G$1,)/VLOOKUP($E943,$D$5:$AK$997,3,))*$F943)</f>
        <v>0.59906980023565115</v>
      </c>
      <c r="H943" s="106">
        <f t="shared" si="570"/>
        <v>8.7650556737154674E-4</v>
      </c>
      <c r="I943" s="106">
        <f t="shared" si="570"/>
        <v>0.24209622222785224</v>
      </c>
      <c r="J943" s="106">
        <f t="shared" si="570"/>
        <v>4.9416934589866408E-3</v>
      </c>
      <c r="K943" s="106">
        <f t="shared" si="570"/>
        <v>7.569443772951627E-2</v>
      </c>
      <c r="L943" s="106">
        <f t="shared" si="570"/>
        <v>1.4802878995661893E-2</v>
      </c>
      <c r="M943" s="106">
        <f t="shared" si="570"/>
        <v>1.3538856423034946E-2</v>
      </c>
      <c r="N943" s="106">
        <f t="shared" si="570"/>
        <v>2.622288045031099E-2</v>
      </c>
      <c r="O943" s="106">
        <f t="shared" si="570"/>
        <v>1.3001116850758613E-2</v>
      </c>
      <c r="P943" s="106">
        <f t="shared" si="570"/>
        <v>8.0255325140289851E-4</v>
      </c>
      <c r="Q943" s="106">
        <f t="shared" si="570"/>
        <v>0</v>
      </c>
      <c r="R943" s="106">
        <f t="shared" si="570"/>
        <v>1.4647984723578655E-4</v>
      </c>
      <c r="S943" s="106">
        <f t="shared" si="570"/>
        <v>1.8052284876928881E-3</v>
      </c>
      <c r="T943" s="106">
        <f t="shared" si="570"/>
        <v>6.8182416627444857E-5</v>
      </c>
      <c r="U943" s="106">
        <f t="shared" si="570"/>
        <v>6.9331640578968144E-3</v>
      </c>
      <c r="V943" s="106">
        <f t="shared" si="570"/>
        <v>0</v>
      </c>
      <c r="W943" s="106">
        <f t="shared" si="570"/>
        <v>0</v>
      </c>
      <c r="X943" s="98">
        <f>SUM(G943:W943)</f>
        <v>1.0000000000000002</v>
      </c>
      <c r="Y943" s="87" t="str">
        <f t="shared" si="566"/>
        <v>ok</v>
      </c>
      <c r="Z943" s="91" t="str">
        <f t="shared" si="567"/>
        <v/>
      </c>
    </row>
    <row r="944" spans="1:26" ht="12" customHeight="1" x14ac:dyDescent="0.5">
      <c r="F944" s="107"/>
      <c r="G944" s="106"/>
      <c r="H944" s="106"/>
      <c r="I944" s="106"/>
      <c r="J944" s="106"/>
      <c r="K944" s="106"/>
      <c r="L944" s="106"/>
      <c r="M944" s="106"/>
      <c r="N944" s="106"/>
      <c r="O944" s="106"/>
      <c r="P944" s="106"/>
      <c r="Q944" s="106"/>
      <c r="R944" s="106"/>
      <c r="S944" s="106"/>
      <c r="T944" s="106"/>
      <c r="U944" s="106"/>
      <c r="V944" s="106"/>
      <c r="W944" s="106"/>
      <c r="X944" s="98"/>
      <c r="Y944" s="87"/>
      <c r="Z944" s="91"/>
    </row>
    <row r="945" spans="1:37" ht="12" customHeight="1" x14ac:dyDescent="0.5">
      <c r="A945" s="22" t="s">
        <v>2555</v>
      </c>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7" ht="12" customHeight="1" x14ac:dyDescent="0.5">
      <c r="A946" s="86" t="s">
        <v>2556</v>
      </c>
      <c r="D946" s="86" t="s">
        <v>2558</v>
      </c>
      <c r="F946" s="90">
        <v>550667</v>
      </c>
      <c r="G946" s="90">
        <f>G836</f>
        <v>441696</v>
      </c>
      <c r="H946" s="90">
        <f>H836</f>
        <v>646</v>
      </c>
      <c r="I946" s="90">
        <f t="shared" ref="I946:W946" si="571">I836</f>
        <v>82784</v>
      </c>
      <c r="J946" s="90">
        <f t="shared" si="571"/>
        <v>424</v>
      </c>
      <c r="K946" s="90">
        <f t="shared" si="571"/>
        <v>4441</v>
      </c>
      <c r="L946" s="90">
        <f t="shared" si="571"/>
        <v>204</v>
      </c>
      <c r="M946" s="90">
        <f t="shared" si="571"/>
        <v>766</v>
      </c>
      <c r="N946" s="90">
        <f t="shared" si="571"/>
        <v>256</v>
      </c>
      <c r="O946" s="90">
        <f t="shared" si="571"/>
        <v>20</v>
      </c>
      <c r="P946" s="90">
        <f t="shared" si="571"/>
        <v>1</v>
      </c>
      <c r="Q946" s="90">
        <f t="shared" si="571"/>
        <v>19255</v>
      </c>
      <c r="R946" s="90">
        <f t="shared" si="571"/>
        <v>12</v>
      </c>
      <c r="S946" s="90">
        <f t="shared" si="571"/>
        <v>148</v>
      </c>
      <c r="T946" s="90">
        <f t="shared" si="571"/>
        <v>4</v>
      </c>
      <c r="U946" s="90">
        <f t="shared" si="571"/>
        <v>10</v>
      </c>
      <c r="V946" s="90">
        <f t="shared" si="571"/>
        <v>0</v>
      </c>
      <c r="W946" s="90">
        <f t="shared" si="571"/>
        <v>0</v>
      </c>
      <c r="X946" s="94">
        <f>SUM(G946:W946)</f>
        <v>550667</v>
      </c>
      <c r="Y946" s="87" t="str">
        <f t="shared" ref="Y946:Y951" si="572">IF(ABS(F946-X946)&lt;0.01,"ok","err")</f>
        <v>ok</v>
      </c>
      <c r="Z946" s="91" t="str">
        <f t="shared" ref="Z946:Z951" si="573">IF(Y946="err",X946-F946,"")</f>
        <v/>
      </c>
    </row>
    <row r="947" spans="1:37" ht="12" customHeight="1" x14ac:dyDescent="0.5">
      <c r="A947" s="86" t="s">
        <v>2557</v>
      </c>
      <c r="F947" s="91">
        <f>F226</f>
        <v>7173759.7602191055</v>
      </c>
      <c r="G947" s="90"/>
      <c r="H947" s="90"/>
      <c r="I947" s="90"/>
      <c r="J947" s="90"/>
      <c r="K947" s="90"/>
      <c r="L947" s="90"/>
      <c r="M947" s="90"/>
      <c r="N947" s="90"/>
      <c r="O947" s="90"/>
      <c r="P947" s="90"/>
      <c r="Q947" s="90"/>
      <c r="R947" s="90"/>
      <c r="S947" s="90"/>
      <c r="T947" s="90"/>
      <c r="U947" s="90"/>
      <c r="V947" s="90"/>
      <c r="W947" s="90">
        <f>W943</f>
        <v>0</v>
      </c>
      <c r="X947" s="94">
        <f>F947</f>
        <v>7173759.7602191055</v>
      </c>
      <c r="Y947" s="87" t="str">
        <f t="shared" si="572"/>
        <v>ok</v>
      </c>
      <c r="Z947" s="91" t="str">
        <f t="shared" si="573"/>
        <v/>
      </c>
    </row>
    <row r="948" spans="1:37" ht="12" customHeight="1" x14ac:dyDescent="0.5">
      <c r="A948" s="86" t="s">
        <v>849</v>
      </c>
      <c r="F948" s="91">
        <v>25500</v>
      </c>
      <c r="G948" s="91"/>
      <c r="H948" s="91"/>
      <c r="I948" s="91"/>
      <c r="J948" s="91"/>
      <c r="K948" s="91"/>
      <c r="L948" s="91"/>
      <c r="M948" s="91"/>
      <c r="N948" s="91"/>
      <c r="O948" s="91"/>
      <c r="P948" s="91"/>
      <c r="Q948" s="91"/>
      <c r="R948" s="91"/>
      <c r="S948" s="91"/>
      <c r="T948" s="91"/>
      <c r="U948" s="91">
        <f>18500</f>
        <v>18500</v>
      </c>
      <c r="V948" s="91">
        <v>0</v>
      </c>
      <c r="W948" s="91">
        <v>7000</v>
      </c>
      <c r="X948" s="94">
        <f>SUM(G948:W948)</f>
        <v>25500</v>
      </c>
      <c r="Y948" s="87" t="str">
        <f t="shared" si="572"/>
        <v>ok</v>
      </c>
      <c r="Z948" s="91" t="str">
        <f t="shared" si="573"/>
        <v/>
      </c>
    </row>
    <row r="949" spans="1:37" ht="12" customHeight="1" x14ac:dyDescent="0.5">
      <c r="A949" s="86" t="s">
        <v>2559</v>
      </c>
      <c r="E949" s="86" t="s">
        <v>2558</v>
      </c>
      <c r="F949" s="91">
        <f>F947-F948</f>
        <v>7148259.7602191055</v>
      </c>
      <c r="G949" s="89">
        <f t="shared" ref="G949:W949" si="574">IF(VLOOKUP($E949,$D$5:$AK$997,3,)=0,0,(VLOOKUP($E949,$D$5:$AK$997,G$1,)/VLOOKUP($E949,$D$5:$AK$997,3,))*$F949)</f>
        <v>5733697.0311453892</v>
      </c>
      <c r="H949" s="89">
        <f t="shared" si="574"/>
        <v>8385.7863374808039</v>
      </c>
      <c r="I949" s="89">
        <f t="shared" si="574"/>
        <v>1074626.8361641036</v>
      </c>
      <c r="J949" s="89">
        <f t="shared" si="574"/>
        <v>5503.9836023093821</v>
      </c>
      <c r="K949" s="89">
        <f t="shared" si="574"/>
        <v>57649.035796830118</v>
      </c>
      <c r="L949" s="89">
        <f t="shared" si="574"/>
        <v>2648.1430539413063</v>
      </c>
      <c r="M949" s="89">
        <f t="shared" si="574"/>
        <v>9943.5175456815741</v>
      </c>
      <c r="N949" s="89">
        <f t="shared" si="574"/>
        <v>3323.1599108283067</v>
      </c>
      <c r="O949" s="89">
        <f t="shared" si="574"/>
        <v>259.62186803346145</v>
      </c>
      <c r="P949" s="89">
        <f t="shared" si="574"/>
        <v>12.981093401673073</v>
      </c>
      <c r="Q949" s="89">
        <f t="shared" si="574"/>
        <v>249950.95344921501</v>
      </c>
      <c r="R949" s="89">
        <f t="shared" si="574"/>
        <v>155.77312082007685</v>
      </c>
      <c r="S949" s="89">
        <f t="shared" si="574"/>
        <v>1921.2018234476145</v>
      </c>
      <c r="T949" s="89">
        <f t="shared" si="574"/>
        <v>51.924373606692292</v>
      </c>
      <c r="U949" s="89">
        <f t="shared" si="574"/>
        <v>129.81093401673073</v>
      </c>
      <c r="V949" s="89">
        <f t="shared" si="574"/>
        <v>0</v>
      </c>
      <c r="W949" s="89">
        <f t="shared" si="574"/>
        <v>0</v>
      </c>
      <c r="X949" s="94">
        <f>SUM(G949:W949)</f>
        <v>7148259.7602191074</v>
      </c>
      <c r="Y949" s="87" t="str">
        <f t="shared" si="572"/>
        <v>ok</v>
      </c>
      <c r="Z949" s="91" t="str">
        <f t="shared" si="573"/>
        <v/>
      </c>
    </row>
    <row r="950" spans="1:37" ht="12" customHeight="1" x14ac:dyDescent="0.5">
      <c r="A950" s="86" t="s">
        <v>2560</v>
      </c>
      <c r="D950" s="86" t="s">
        <v>2562</v>
      </c>
      <c r="F950" s="91">
        <f>F948+F949</f>
        <v>7173759.7602191055</v>
      </c>
      <c r="G950" s="91">
        <f>G948+G949</f>
        <v>5733697.0311453892</v>
      </c>
      <c r="H950" s="91">
        <f>H948+H949</f>
        <v>8385.7863374808039</v>
      </c>
      <c r="I950" s="91">
        <f t="shared" ref="I950:W950" si="575">I948+I949</f>
        <v>1074626.8361641036</v>
      </c>
      <c r="J950" s="91">
        <f t="shared" si="575"/>
        <v>5503.9836023093821</v>
      </c>
      <c r="K950" s="91">
        <f t="shared" si="575"/>
        <v>57649.035796830118</v>
      </c>
      <c r="L950" s="91">
        <f t="shared" si="575"/>
        <v>2648.1430539413063</v>
      </c>
      <c r="M950" s="91">
        <f t="shared" si="575"/>
        <v>9943.5175456815741</v>
      </c>
      <c r="N950" s="91">
        <f t="shared" si="575"/>
        <v>3323.1599108283067</v>
      </c>
      <c r="O950" s="91">
        <f t="shared" si="575"/>
        <v>259.62186803346145</v>
      </c>
      <c r="P950" s="91">
        <f t="shared" si="575"/>
        <v>12.981093401673073</v>
      </c>
      <c r="Q950" s="91">
        <f t="shared" si="575"/>
        <v>249950.95344921501</v>
      </c>
      <c r="R950" s="91">
        <f t="shared" si="575"/>
        <v>155.77312082007685</v>
      </c>
      <c r="S950" s="91">
        <f t="shared" si="575"/>
        <v>1921.2018234476145</v>
      </c>
      <c r="T950" s="91">
        <f t="shared" si="575"/>
        <v>51.924373606692292</v>
      </c>
      <c r="U950" s="91">
        <f t="shared" si="575"/>
        <v>18629.810934016732</v>
      </c>
      <c r="V950" s="91">
        <f t="shared" si="575"/>
        <v>0</v>
      </c>
      <c r="W950" s="91">
        <f t="shared" si="575"/>
        <v>7000</v>
      </c>
      <c r="X950" s="94">
        <f>SUM(G950:W950)</f>
        <v>7173759.7602191074</v>
      </c>
      <c r="Y950" s="87" t="str">
        <f t="shared" si="572"/>
        <v>ok</v>
      </c>
      <c r="Z950" s="91" t="str">
        <f t="shared" si="573"/>
        <v/>
      </c>
    </row>
    <row r="951" spans="1:37" ht="12" customHeight="1" x14ac:dyDescent="0.5">
      <c r="A951" s="86" t="s">
        <v>2561</v>
      </c>
      <c r="D951" s="86" t="s">
        <v>2563</v>
      </c>
      <c r="E951" s="86" t="s">
        <v>2562</v>
      </c>
      <c r="F951" s="107">
        <v>1</v>
      </c>
      <c r="G951" s="106">
        <f t="shared" ref="G951:W951" si="576">IF(VLOOKUP($E951,$D$5:$AK$997,3,)=0,0,(VLOOKUP($E951,$D$5:$AK$997,G$1,)/VLOOKUP($E951,$D$5:$AK$997,3,))*$F951)</f>
        <v>0.79925969405062247</v>
      </c>
      <c r="H951" s="106">
        <f t="shared" si="576"/>
        <v>1.1689527692274825E-3</v>
      </c>
      <c r="I951" s="106">
        <f t="shared" si="576"/>
        <v>0.14979966880453238</v>
      </c>
      <c r="J951" s="106">
        <f t="shared" si="576"/>
        <v>7.6723835008119597E-4</v>
      </c>
      <c r="K951" s="106">
        <f t="shared" si="576"/>
        <v>8.0360979073363006E-3</v>
      </c>
      <c r="L951" s="106">
        <f t="shared" si="576"/>
        <v>3.6914297975604706E-4</v>
      </c>
      <c r="M951" s="106">
        <f t="shared" si="576"/>
        <v>1.3860956984957458E-3</v>
      </c>
      <c r="N951" s="106">
        <f t="shared" si="576"/>
        <v>4.6323824910562777E-4</v>
      </c>
      <c r="O951" s="106">
        <f t="shared" si="576"/>
        <v>3.6190488211377173E-5</v>
      </c>
      <c r="P951" s="106">
        <f t="shared" si="576"/>
        <v>1.8095244105688585E-6</v>
      </c>
      <c r="Q951" s="106">
        <f t="shared" si="576"/>
        <v>3.484239252550337E-2</v>
      </c>
      <c r="R951" s="106">
        <f t="shared" si="576"/>
        <v>2.1714292926826298E-5</v>
      </c>
      <c r="S951" s="106">
        <f t="shared" si="576"/>
        <v>2.6780961276419104E-4</v>
      </c>
      <c r="T951" s="106">
        <f t="shared" si="576"/>
        <v>7.2380976422754339E-6</v>
      </c>
      <c r="U951" s="106">
        <f t="shared" si="576"/>
        <v>2.5969382244057375E-3</v>
      </c>
      <c r="V951" s="106">
        <f t="shared" si="576"/>
        <v>0</v>
      </c>
      <c r="W951" s="106">
        <f t="shared" si="576"/>
        <v>9.7577842497839672E-4</v>
      </c>
      <c r="X951" s="98">
        <f>SUM(G951:W951)</f>
        <v>1</v>
      </c>
      <c r="Y951" s="87" t="str">
        <f t="shared" si="572"/>
        <v>ok</v>
      </c>
      <c r="Z951" s="91" t="str">
        <f t="shared" si="573"/>
        <v/>
      </c>
    </row>
    <row r="952" spans="1:37" ht="12" customHeight="1" x14ac:dyDescent="0.5">
      <c r="F952" s="107"/>
      <c r="G952" s="106"/>
      <c r="H952" s="106"/>
      <c r="I952" s="106"/>
      <c r="J952" s="106"/>
      <c r="K952" s="106"/>
      <c r="L952" s="106"/>
      <c r="M952" s="106"/>
      <c r="N952" s="106"/>
      <c r="O952" s="106"/>
      <c r="P952" s="106"/>
      <c r="Q952" s="106"/>
      <c r="R952" s="106"/>
      <c r="S952" s="106"/>
      <c r="T952" s="106"/>
      <c r="U952" s="106"/>
      <c r="V952" s="106"/>
      <c r="W952" s="106"/>
      <c r="Y952" s="87"/>
    </row>
    <row r="953" spans="1:37" ht="12" customHeight="1" x14ac:dyDescent="0.5">
      <c r="A953" s="288" t="s">
        <v>907</v>
      </c>
      <c r="F953" s="107"/>
      <c r="G953" s="106"/>
      <c r="H953" s="106"/>
      <c r="I953" s="106"/>
      <c r="J953" s="106"/>
      <c r="K953" s="106"/>
      <c r="L953" s="106"/>
      <c r="M953" s="106"/>
      <c r="N953" s="106"/>
      <c r="O953" s="106"/>
      <c r="P953" s="106"/>
      <c r="Q953" s="106"/>
      <c r="R953" s="106"/>
      <c r="S953" s="106"/>
      <c r="T953" s="106"/>
      <c r="U953" s="106"/>
      <c r="V953" s="106"/>
      <c r="W953" s="106"/>
      <c r="Y953" s="87"/>
      <c r="AB953" s="94"/>
      <c r="AC953" s="94"/>
      <c r="AD953" s="94"/>
      <c r="AE953" s="94"/>
      <c r="AF953" s="94"/>
      <c r="AG953" s="94"/>
    </row>
    <row r="954" spans="1:37" ht="12" customHeight="1" x14ac:dyDescent="0.5">
      <c r="A954" s="288"/>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7" ht="12" customHeight="1" x14ac:dyDescent="0.5">
      <c r="A955" s="86" t="s">
        <v>1840</v>
      </c>
      <c r="D955" s="86" t="s">
        <v>1839</v>
      </c>
      <c r="F955" s="90">
        <v>3985851.6299999994</v>
      </c>
      <c r="G955" s="90">
        <f>(G830/($G$830+$H$830))*3094550.59</f>
        <v>3090029.5340414713</v>
      </c>
      <c r="H955" s="90">
        <f>(H830/($G$830+$H$830))*3094550.59</f>
        <v>4521.0559585284791</v>
      </c>
      <c r="I955" s="90">
        <v>620985.72</v>
      </c>
      <c r="J955" s="90">
        <f t="shared" ref="J955:P955" si="577">(J830/($J$830+$K$830+$L$830+$M$830+$N$830+$O$830+$P$830))*(170333.81+51375.44+2527.79+42719.01)</f>
        <v>18513.642716969542</v>
      </c>
      <c r="K955" s="90">
        <f t="shared" si="577"/>
        <v>193986.39144912362</v>
      </c>
      <c r="L955" s="90">
        <f t="shared" si="577"/>
        <v>8901.6666645296791</v>
      </c>
      <c r="M955" s="90">
        <f t="shared" si="577"/>
        <v>33474.182635577243</v>
      </c>
      <c r="N955" s="90">
        <f t="shared" si="577"/>
        <v>11162.808242589848</v>
      </c>
      <c r="O955" s="90">
        <f t="shared" si="577"/>
        <v>873.67456305717633</v>
      </c>
      <c r="P955" s="90">
        <f t="shared" si="577"/>
        <v>43.683728152858819</v>
      </c>
      <c r="Q955" s="90">
        <v>3359.27</v>
      </c>
      <c r="R955" s="90">
        <v>0</v>
      </c>
      <c r="S955" s="90">
        <v>0</v>
      </c>
      <c r="T955" s="90">
        <v>0</v>
      </c>
      <c r="U955" s="90">
        <v>0</v>
      </c>
      <c r="V955" s="90"/>
      <c r="W955" s="90">
        <v>0</v>
      </c>
      <c r="X955" s="94">
        <f t="shared" ref="X955:X962" si="578">SUM(G955:W955)</f>
        <v>3985851.6299999994</v>
      </c>
      <c r="Y955" s="87" t="str">
        <f t="shared" ref="Y955:Y962" si="579">IF(ABS(F955-X955)&lt;0.01,"ok","err")</f>
        <v>ok</v>
      </c>
      <c r="Z955" s="91" t="str">
        <f t="shared" ref="Z955:Z962" si="580">IF(Y955="err",X955-F955,"")</f>
        <v/>
      </c>
    </row>
    <row r="956" spans="1:37" ht="12" customHeight="1" x14ac:dyDescent="0.5">
      <c r="A956" s="86" t="s">
        <v>1449</v>
      </c>
      <c r="D956" s="86" t="s">
        <v>2108</v>
      </c>
      <c r="F956" s="90">
        <v>1671783.82</v>
      </c>
      <c r="G956" s="90">
        <f>(G830/($G$830+$H$830))*174180.44</f>
        <v>173925.96701815061</v>
      </c>
      <c r="H956" s="90">
        <f>(H830/($G$830+$H$830))*174180.44</f>
        <v>254.47298184939751</v>
      </c>
      <c r="I956" s="90">
        <v>326080.78000000003</v>
      </c>
      <c r="J956" s="90">
        <f t="shared" ref="J956:P956" si="581">(J830/($J$830+$K$830+$L$830+$M$830+$N$830+$O$830+$P$830))*(878159.44+82220.79+346.98+202356.51)</f>
        <v>80660.90445226412</v>
      </c>
      <c r="K956" s="90">
        <f t="shared" si="581"/>
        <v>845166.88719368936</v>
      </c>
      <c r="L956" s="90">
        <f t="shared" si="581"/>
        <v>38783.101481989906</v>
      </c>
      <c r="M956" s="90">
        <f t="shared" si="581"/>
        <v>145841.52284148117</v>
      </c>
      <c r="N956" s="90">
        <f t="shared" si="581"/>
        <v>48634.524433658888</v>
      </c>
      <c r="O956" s="90">
        <f t="shared" si="581"/>
        <v>3806.4567589680596</v>
      </c>
      <c r="P956" s="90">
        <f t="shared" si="581"/>
        <v>190.32283794840299</v>
      </c>
      <c r="Q956" s="90">
        <v>8438.8799999999992</v>
      </c>
      <c r="R956" s="95">
        <v>0</v>
      </c>
      <c r="S956" s="90">
        <v>0</v>
      </c>
      <c r="T956" s="95">
        <v>0</v>
      </c>
      <c r="U956" s="95">
        <v>0</v>
      </c>
      <c r="V956" s="90"/>
      <c r="W956" s="90">
        <v>0</v>
      </c>
      <c r="X956" s="94">
        <f t="shared" si="578"/>
        <v>1671783.82</v>
      </c>
      <c r="Y956" s="87" t="str">
        <f t="shared" si="579"/>
        <v>ok</v>
      </c>
      <c r="Z956" s="91" t="str">
        <f t="shared" si="580"/>
        <v/>
      </c>
    </row>
    <row r="957" spans="1:37" ht="12" customHeight="1" x14ac:dyDescent="0.5">
      <c r="A957" s="86" t="s">
        <v>2354</v>
      </c>
      <c r="D957" s="86" t="s">
        <v>2355</v>
      </c>
      <c r="F957" s="90">
        <v>1827840</v>
      </c>
      <c r="G957" s="90">
        <f>(G830/($G$830+$H$830))*1740900</f>
        <v>1738356.5914858086</v>
      </c>
      <c r="H957" s="90">
        <f>(H830/($G$830+$H$830))*1740900</f>
        <v>2543.4085141914679</v>
      </c>
      <c r="I957" s="90">
        <v>83412</v>
      </c>
      <c r="J957" s="90">
        <f t="shared" ref="J957:P957" si="582">(J830/($J$830+$K$830+$L$830+$M$830+$N$830+$O$830+$P$830))*(1148+728+1484)</f>
        <v>233.01902889639575</v>
      </c>
      <c r="K957" s="90">
        <f t="shared" si="582"/>
        <v>2441.578961289903</v>
      </c>
      <c r="L957" s="90">
        <f t="shared" si="582"/>
        <v>112.03941619910739</v>
      </c>
      <c r="M957" s="90">
        <f t="shared" si="582"/>
        <v>421.31749273162961</v>
      </c>
      <c r="N957" s="90">
        <f t="shared" si="582"/>
        <v>140.49891618902024</v>
      </c>
      <c r="O957" s="90">
        <f t="shared" si="582"/>
        <v>10.996366375184651</v>
      </c>
      <c r="P957" s="90">
        <f t="shared" si="582"/>
        <v>0.54981831875923259</v>
      </c>
      <c r="Q957" s="90">
        <v>168</v>
      </c>
      <c r="R957" s="95"/>
      <c r="S957" s="90"/>
      <c r="T957" s="95"/>
      <c r="U957" s="95"/>
      <c r="V957" s="90"/>
      <c r="W957" s="90">
        <v>0</v>
      </c>
      <c r="X957" s="94">
        <f t="shared" si="578"/>
        <v>1827840</v>
      </c>
      <c r="Y957" s="87" t="str">
        <f t="shared" si="579"/>
        <v>ok</v>
      </c>
      <c r="Z957" s="91" t="str">
        <f t="shared" si="580"/>
        <v/>
      </c>
    </row>
    <row r="958" spans="1:37" ht="12" customHeight="1" x14ac:dyDescent="0.5">
      <c r="A958" s="86" t="s">
        <v>2356</v>
      </c>
      <c r="D958" s="86" t="s">
        <v>1053</v>
      </c>
      <c r="F958" s="90">
        <v>86977.999999999985</v>
      </c>
      <c r="G958" s="90">
        <f>(G830/($G$830+$H$830))*81062</f>
        <v>80943.570577875013</v>
      </c>
      <c r="H958" s="90">
        <f>(H830/($G$830+$H$830))*81062</f>
        <v>118.42942212498637</v>
      </c>
      <c r="I958" s="90">
        <v>5025</v>
      </c>
      <c r="J958" s="90">
        <f t="shared" ref="J958:P958" si="583">(J830/($J$830+$K$830+$L$830+$M$830+$N$830+$O$830+$P$830))*(178+686+2)</f>
        <v>60.05788066198771</v>
      </c>
      <c r="K958" s="90">
        <f t="shared" si="583"/>
        <v>629.28791085626665</v>
      </c>
      <c r="L958" s="90">
        <f t="shared" si="583"/>
        <v>28.876825722746133</v>
      </c>
      <c r="M958" s="90">
        <f t="shared" si="583"/>
        <v>108.58956806714025</v>
      </c>
      <c r="N958" s="90">
        <f t="shared" si="583"/>
        <v>36.211923041574856</v>
      </c>
      <c r="O958" s="90">
        <f t="shared" si="583"/>
        <v>2.83418252408033</v>
      </c>
      <c r="P958" s="90">
        <f t="shared" si="583"/>
        <v>0.14170912620401649</v>
      </c>
      <c r="Q958" s="90">
        <v>25</v>
      </c>
      <c r="R958" s="95"/>
      <c r="S958" s="90"/>
      <c r="T958" s="95"/>
      <c r="U958" s="95"/>
      <c r="V958" s="90"/>
      <c r="W958" s="90">
        <v>0</v>
      </c>
      <c r="X958" s="94">
        <f t="shared" si="578"/>
        <v>86977.999999999985</v>
      </c>
      <c r="Y958" s="87" t="str">
        <f t="shared" si="579"/>
        <v>ok</v>
      </c>
      <c r="Z958" s="91" t="str">
        <f t="shared" si="580"/>
        <v/>
      </c>
    </row>
    <row r="959" spans="1:37" ht="12" customHeight="1" x14ac:dyDescent="0.5">
      <c r="A959" s="86" t="s">
        <v>2357</v>
      </c>
      <c r="D959" s="86" t="s">
        <v>2358</v>
      </c>
      <c r="F959" s="90">
        <v>5194858581.1426163</v>
      </c>
      <c r="G959" s="90">
        <f t="shared" ref="G959:T959" si="584">G174</f>
        <v>2446199408.7285142</v>
      </c>
      <c r="H959" s="90">
        <f t="shared" si="584"/>
        <v>11340629.922834281</v>
      </c>
      <c r="I959" s="90">
        <f t="shared" si="584"/>
        <v>610148565.20987535</v>
      </c>
      <c r="J959" s="90">
        <f t="shared" si="584"/>
        <v>38738639.515784226</v>
      </c>
      <c r="K959" s="90">
        <f t="shared" si="584"/>
        <v>458864450.23790866</v>
      </c>
      <c r="L959" s="90">
        <f t="shared" si="584"/>
        <v>19887373.090099089</v>
      </c>
      <c r="M959" s="90">
        <f t="shared" si="584"/>
        <v>424829680.24150598</v>
      </c>
      <c r="N959" s="90">
        <f t="shared" si="584"/>
        <v>740452252.7798897</v>
      </c>
      <c r="O959" s="90">
        <f t="shared" si="584"/>
        <v>225535968.00398141</v>
      </c>
      <c r="P959" s="90">
        <f t="shared" si="584"/>
        <v>104333029.76968977</v>
      </c>
      <c r="Q959" s="90">
        <f t="shared" si="584"/>
        <v>113340011.04474315</v>
      </c>
      <c r="R959" s="90">
        <f t="shared" si="584"/>
        <v>398642.54509885528</v>
      </c>
      <c r="S959" s="90">
        <f t="shared" si="584"/>
        <v>615301.08940570417</v>
      </c>
      <c r="T959" s="90">
        <f t="shared" si="584"/>
        <v>174628.96328485516</v>
      </c>
      <c r="U959" s="95"/>
      <c r="V959" s="90"/>
      <c r="W959" s="90">
        <v>0</v>
      </c>
      <c r="X959" s="94">
        <f t="shared" si="578"/>
        <v>5194858581.1426163</v>
      </c>
      <c r="Y959" s="87" t="str">
        <f t="shared" si="579"/>
        <v>ok</v>
      </c>
      <c r="Z959" s="91" t="str">
        <f t="shared" si="580"/>
        <v/>
      </c>
    </row>
    <row r="960" spans="1:37" ht="12" hidden="1" customHeight="1" x14ac:dyDescent="0.5">
      <c r="A960" s="86" t="s">
        <v>906</v>
      </c>
      <c r="D960" s="86" t="s">
        <v>2255</v>
      </c>
      <c r="F960" s="90">
        <v>0</v>
      </c>
      <c r="G960" s="90"/>
      <c r="H960" s="90"/>
      <c r="I960" s="90"/>
      <c r="J960" s="90"/>
      <c r="K960" s="90"/>
      <c r="L960" s="90"/>
      <c r="M960" s="90"/>
      <c r="N960" s="90"/>
      <c r="O960" s="90"/>
      <c r="P960" s="90"/>
      <c r="Q960" s="90"/>
      <c r="R960" s="90"/>
      <c r="S960" s="90"/>
      <c r="T960" s="90"/>
      <c r="U960" s="90"/>
      <c r="V960" s="90"/>
      <c r="W960" s="90"/>
      <c r="X960" s="94">
        <f t="shared" si="578"/>
        <v>0</v>
      </c>
      <c r="Y960" s="87" t="str">
        <f t="shared" si="579"/>
        <v>ok</v>
      </c>
      <c r="Z960" s="91" t="str">
        <f t="shared" si="580"/>
        <v/>
      </c>
      <c r="AA960" s="94"/>
      <c r="AH960" s="94"/>
      <c r="AI960" s="94"/>
      <c r="AJ960" s="94"/>
      <c r="AK960" s="94"/>
    </row>
    <row r="961" spans="1:37" ht="12" customHeight="1" x14ac:dyDescent="0.5">
      <c r="A961" s="86" t="s">
        <v>555</v>
      </c>
      <c r="D961" s="86" t="s">
        <v>556</v>
      </c>
      <c r="F961" s="90">
        <v>6069280510.3390989</v>
      </c>
      <c r="G961" s="90">
        <f t="shared" ref="G961:T961" si="585">G8</f>
        <v>2488249046.62748</v>
      </c>
      <c r="H961" s="90">
        <f t="shared" si="585"/>
        <v>2541147.8973416761</v>
      </c>
      <c r="I961" s="90">
        <f t="shared" si="585"/>
        <v>670877712.94390798</v>
      </c>
      <c r="J961" s="90">
        <f t="shared" si="585"/>
        <v>43048390.257249579</v>
      </c>
      <c r="K961" s="90">
        <f t="shared" si="585"/>
        <v>625620321.44222236</v>
      </c>
      <c r="L961" s="90">
        <f t="shared" si="585"/>
        <v>27180188.49436672</v>
      </c>
      <c r="M961" s="90">
        <f t="shared" si="585"/>
        <v>601675635.97869003</v>
      </c>
      <c r="N961" s="90">
        <f t="shared" si="585"/>
        <v>1101433841.1647117</v>
      </c>
      <c r="O961" s="90">
        <f t="shared" si="585"/>
        <v>358533296.26049989</v>
      </c>
      <c r="P961" s="90">
        <f t="shared" si="585"/>
        <v>148468144.67818588</v>
      </c>
      <c r="Q961" s="90">
        <f t="shared" si="585"/>
        <v>967723.95561369124</v>
      </c>
      <c r="R961" s="90">
        <f t="shared" si="585"/>
        <v>35208.776281799255</v>
      </c>
      <c r="S961" s="90">
        <f t="shared" si="585"/>
        <v>575743.78932526777</v>
      </c>
      <c r="T961" s="90">
        <f t="shared" si="585"/>
        <v>74108.081357948686</v>
      </c>
      <c r="U961" s="90">
        <v>0</v>
      </c>
      <c r="V961" s="90">
        <v>0</v>
      </c>
      <c r="W961" s="90">
        <v>0</v>
      </c>
      <c r="X961" s="94">
        <f t="shared" si="578"/>
        <v>6069280510.3472347</v>
      </c>
      <c r="Y961" s="87" t="str">
        <f t="shared" si="579"/>
        <v>ok</v>
      </c>
      <c r="Z961" s="91" t="str">
        <f t="shared" si="580"/>
        <v/>
      </c>
      <c r="AA961" s="94"/>
      <c r="AH961" s="94"/>
      <c r="AI961" s="94"/>
      <c r="AJ961" s="94"/>
      <c r="AK961" s="94"/>
    </row>
    <row r="962" spans="1:37" ht="12" customHeight="1" x14ac:dyDescent="0.5">
      <c r="A962" s="86" t="s">
        <v>558</v>
      </c>
      <c r="F962" s="90">
        <v>1557576048.9485686</v>
      </c>
      <c r="G962" s="90">
        <f>'Billing Det'!D8</f>
        <v>610498742.60889256</v>
      </c>
      <c r="H962" s="90"/>
      <c r="I962" s="90">
        <f>'Billing Det'!D12</f>
        <v>224799513.08000001</v>
      </c>
      <c r="J962" s="90">
        <f>'Billing Det'!D14</f>
        <v>11901436</v>
      </c>
      <c r="K962" s="90">
        <f>'Billing Det'!D16</f>
        <v>169760856.79999998</v>
      </c>
      <c r="L962" s="90">
        <f>'Billing Det'!D18</f>
        <v>9429914.5700000003</v>
      </c>
      <c r="M962" s="90">
        <f>'Billing Det'!D20</f>
        <v>134172118.09000002</v>
      </c>
      <c r="N962" s="90">
        <f>'Billing Det'!D22</f>
        <v>250417885.84999999</v>
      </c>
      <c r="O962" s="90">
        <f>'Billing Det'!D24</f>
        <v>82247980.760000005</v>
      </c>
      <c r="P962" s="90">
        <f>'Billing Det'!D26</f>
        <v>32956814.48</v>
      </c>
      <c r="Q962" s="90">
        <f>'Billing Det'!D28</f>
        <v>30555893.249675881</v>
      </c>
      <c r="R962" s="90">
        <f>'Billing Det'!D30</f>
        <v>307245.55999999994</v>
      </c>
      <c r="S962" s="90">
        <f>'Billing Det'!D32</f>
        <v>271290.95</v>
      </c>
      <c r="T962" s="90">
        <f>'Billing Det'!D34</f>
        <v>92319.950000000012</v>
      </c>
      <c r="U962" s="90">
        <f>'Billing Det'!D36</f>
        <v>1533</v>
      </c>
      <c r="V962" s="90">
        <f>'Billing Det'!D38</f>
        <v>162504.0000000002</v>
      </c>
      <c r="W962" s="90">
        <v>0</v>
      </c>
      <c r="X962" s="94">
        <f t="shared" si="578"/>
        <v>1557576048.9485686</v>
      </c>
      <c r="Y962" s="87" t="str">
        <f t="shared" si="579"/>
        <v>ok</v>
      </c>
      <c r="Z962" s="91" t="str">
        <f t="shared" si="580"/>
        <v/>
      </c>
    </row>
    <row r="964" spans="1:37" ht="12" customHeight="1" x14ac:dyDescent="0.5">
      <c r="F964" s="90"/>
      <c r="G964" s="90"/>
      <c r="H964" s="90"/>
      <c r="I964" s="90"/>
      <c r="J964" s="90"/>
      <c r="K964" s="90"/>
      <c r="L964" s="90"/>
      <c r="M964" s="90"/>
      <c r="N964" s="90"/>
      <c r="O964" s="90"/>
      <c r="P964" s="90"/>
      <c r="Q964" s="90"/>
      <c r="R964" s="90"/>
      <c r="S964" s="90"/>
      <c r="T964" s="90"/>
      <c r="U964" s="90"/>
      <c r="V964" s="106"/>
      <c r="W964" s="90"/>
      <c r="Y964" s="223"/>
    </row>
    <row r="965" spans="1:37" ht="12" customHeight="1" x14ac:dyDescent="0.5">
      <c r="A965" s="86" t="s">
        <v>559</v>
      </c>
      <c r="D965" s="86" t="s">
        <v>509</v>
      </c>
      <c r="F965" s="90">
        <v>336831286.09024835</v>
      </c>
      <c r="G965" s="90">
        <f t="shared" ref="G965:V965" si="586">G231-G183</f>
        <v>177078513.0701803</v>
      </c>
      <c r="H965" s="90">
        <f t="shared" si="586"/>
        <v>308115.96539989969</v>
      </c>
      <c r="I965" s="90">
        <f t="shared" si="586"/>
        <v>48625095.038380861</v>
      </c>
      <c r="J965" s="90">
        <f t="shared" si="586"/>
        <v>2428924.0913837478</v>
      </c>
      <c r="K965" s="90">
        <f t="shared" si="586"/>
        <v>25387607.601059757</v>
      </c>
      <c r="L965" s="90">
        <f t="shared" si="586"/>
        <v>1220941.0331520201</v>
      </c>
      <c r="M965" s="90">
        <f t="shared" si="586"/>
        <v>22572316.142788075</v>
      </c>
      <c r="N965" s="90">
        <f t="shared" si="586"/>
        <v>36969950.952739298</v>
      </c>
      <c r="O965" s="90">
        <f t="shared" si="586"/>
        <v>10976203.477805294</v>
      </c>
      <c r="P965" s="90">
        <f t="shared" si="586"/>
        <v>5226478.8000377156</v>
      </c>
      <c r="Q965" s="90">
        <f t="shared" si="586"/>
        <v>5822152.3330496587</v>
      </c>
      <c r="R965" s="90">
        <f t="shared" si="586"/>
        <v>26412.68335113005</v>
      </c>
      <c r="S965" s="90">
        <f t="shared" si="586"/>
        <v>63495.345179046199</v>
      </c>
      <c r="T965" s="90">
        <f t="shared" si="586"/>
        <v>12454.83325141686</v>
      </c>
      <c r="U965" s="90">
        <f t="shared" si="586"/>
        <v>21110.722489940952</v>
      </c>
      <c r="V965" s="90">
        <f t="shared" si="586"/>
        <v>91514</v>
      </c>
      <c r="W965" s="90">
        <v>0</v>
      </c>
      <c r="X965" s="94">
        <f>SUM(G965:W965)</f>
        <v>336831286.09024823</v>
      </c>
      <c r="Y965" s="87" t="str">
        <f>IF(ABS(F965-X965)&lt;0.01,"ok","err")</f>
        <v>ok</v>
      </c>
      <c r="Z965" s="91" t="str">
        <f>IF(Y965="err",X965-F965,"")</f>
        <v/>
      </c>
    </row>
    <row r="966" spans="1:37" ht="12" customHeight="1" x14ac:dyDescent="0.5">
      <c r="F966" s="95"/>
      <c r="G966" s="95"/>
      <c r="H966" s="95"/>
      <c r="I966" s="95"/>
      <c r="J966" s="95"/>
      <c r="K966" s="95"/>
      <c r="L966" s="95"/>
      <c r="M966" s="95"/>
      <c r="N966" s="95"/>
      <c r="O966" s="95"/>
      <c r="P966" s="95"/>
      <c r="Q966" s="95"/>
      <c r="R966" s="95"/>
      <c r="S966" s="95"/>
      <c r="T966" s="95"/>
      <c r="U966" s="95"/>
      <c r="V966" s="95"/>
      <c r="W966" s="90"/>
      <c r="X966" s="87"/>
    </row>
    <row r="967" spans="1:37" ht="12" customHeight="1" x14ac:dyDescent="0.5">
      <c r="A967" s="288" t="s">
        <v>2359</v>
      </c>
      <c r="F967" s="107"/>
      <c r="G967" s="106"/>
      <c r="H967" s="106"/>
      <c r="I967" s="106"/>
      <c r="J967" s="106"/>
      <c r="K967" s="106"/>
      <c r="L967" s="106"/>
      <c r="M967" s="106"/>
      <c r="N967" s="106"/>
      <c r="O967" s="106"/>
      <c r="P967" s="106"/>
      <c r="Q967" s="106"/>
      <c r="R967" s="106"/>
      <c r="S967" s="106"/>
      <c r="T967" s="106"/>
      <c r="U967" s="106"/>
      <c r="V967" s="106"/>
      <c r="W967" s="106"/>
      <c r="X967" s="87"/>
    </row>
    <row r="968" spans="1:37" ht="12" customHeight="1" x14ac:dyDescent="0.5">
      <c r="A968" s="86" t="s">
        <v>2360</v>
      </c>
      <c r="F968" s="90">
        <v>3184853.47</v>
      </c>
      <c r="G968" s="106"/>
      <c r="H968" s="106"/>
      <c r="I968" s="106"/>
      <c r="J968" s="106"/>
      <c r="K968" s="106"/>
      <c r="L968" s="106"/>
      <c r="M968" s="106"/>
      <c r="N968" s="90">
        <f>65694.51+135834.54</f>
        <v>201529.05</v>
      </c>
      <c r="O968" s="90">
        <f>573918.68</f>
        <v>573918.68000000005</v>
      </c>
      <c r="P968" s="90">
        <f>2409405.74</f>
        <v>2409405.7400000002</v>
      </c>
      <c r="Q968" s="106"/>
      <c r="R968" s="106"/>
      <c r="S968" s="106"/>
      <c r="T968" s="106"/>
      <c r="U968" s="106"/>
      <c r="V968" s="106"/>
      <c r="W968" s="90">
        <v>0</v>
      </c>
      <c r="X968" s="94">
        <f>SUM(G968:W968)</f>
        <v>3184853.47</v>
      </c>
      <c r="Y968" s="87" t="str">
        <f>IF(ABS(F968-X968)&lt;0.01,"ok","err")</f>
        <v>ok</v>
      </c>
    </row>
    <row r="969" spans="1:37" ht="12" customHeight="1" x14ac:dyDescent="0.5">
      <c r="A969" s="86" t="s">
        <v>2361</v>
      </c>
      <c r="F969" s="89"/>
      <c r="G969" s="89"/>
      <c r="H969" s="89"/>
      <c r="I969" s="89"/>
      <c r="J969" s="89"/>
      <c r="K969" s="89"/>
      <c r="L969" s="89"/>
      <c r="M969" s="89"/>
      <c r="N969" s="412">
        <f>N970/N968</f>
        <v>-5.1231128713205365</v>
      </c>
      <c r="O969" s="412">
        <f>O970/O968</f>
        <v>-5.8999999616670422</v>
      </c>
      <c r="P969" s="412">
        <v>-5.9</v>
      </c>
      <c r="Q969" s="89"/>
      <c r="R969" s="89"/>
      <c r="S969" s="89"/>
      <c r="T969" s="89"/>
      <c r="U969" s="89"/>
      <c r="V969" s="89"/>
      <c r="W969" s="91"/>
      <c r="X969" s="87"/>
      <c r="Y969" s="91"/>
    </row>
    <row r="970" spans="1:37" ht="11.65" customHeight="1" x14ac:dyDescent="0.5">
      <c r="A970" s="86" t="s">
        <v>2362</v>
      </c>
      <c r="F970" s="89">
        <v>-18634070.126000002</v>
      </c>
      <c r="G970" s="106"/>
      <c r="H970" s="106"/>
      <c r="I970" s="106"/>
      <c r="J970" s="106"/>
      <c r="K970" s="106"/>
      <c r="L970" s="106"/>
      <c r="M970" s="106"/>
      <c r="N970" s="89">
        <f>-217448.83-815007.24</f>
        <v>-1032456.07</v>
      </c>
      <c r="O970" s="89">
        <f>-3386120.19</f>
        <v>-3386120.19</v>
      </c>
      <c r="P970" s="89">
        <f>P968*P969</f>
        <v>-14215493.866000002</v>
      </c>
      <c r="Q970" s="106"/>
      <c r="R970" s="106"/>
      <c r="S970" s="106"/>
      <c r="T970" s="106"/>
      <c r="U970" s="106"/>
      <c r="V970" s="106"/>
      <c r="W970" s="90">
        <v>0</v>
      </c>
      <c r="X970" s="94">
        <f>SUM(G970:W970)</f>
        <v>-18634070.126000002</v>
      </c>
      <c r="Y970" s="87" t="str">
        <f>IF(ABS(F970-X970)&lt;0.01,"ok","err")</f>
        <v>ok</v>
      </c>
    </row>
    <row r="971" spans="1:37" ht="12" customHeight="1" x14ac:dyDescent="0.5">
      <c r="G971" s="106"/>
      <c r="H971" s="106"/>
      <c r="I971" s="106"/>
      <c r="J971" s="106"/>
      <c r="K971" s="106"/>
      <c r="L971" s="106"/>
      <c r="M971" s="106"/>
      <c r="N971" s="106"/>
      <c r="O971" s="106"/>
      <c r="P971" s="106"/>
      <c r="Q971" s="106"/>
      <c r="R971" s="106"/>
      <c r="S971" s="106"/>
      <c r="T971" s="106"/>
      <c r="U971" s="106"/>
      <c r="V971" s="106"/>
      <c r="W971" s="106"/>
      <c r="X971" s="87"/>
    </row>
    <row r="972" spans="1:37" ht="12" customHeight="1" x14ac:dyDescent="0.5">
      <c r="F972" s="89"/>
      <c r="G972" s="89"/>
      <c r="H972" s="89"/>
      <c r="I972" s="89"/>
      <c r="J972" s="89"/>
      <c r="K972" s="89"/>
      <c r="L972" s="89"/>
      <c r="M972" s="89"/>
      <c r="N972" s="89"/>
      <c r="O972" s="89"/>
      <c r="P972" s="89"/>
      <c r="Q972" s="89"/>
      <c r="R972" s="89"/>
      <c r="S972" s="89"/>
      <c r="T972" s="89"/>
      <c r="U972" s="89"/>
      <c r="V972" s="89"/>
      <c r="W972" s="91"/>
      <c r="X972" s="87"/>
      <c r="Y972" s="91"/>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E974" s="503"/>
      <c r="F974" s="504"/>
      <c r="G974" s="504"/>
      <c r="H974" s="504"/>
      <c r="I974" s="504"/>
      <c r="J974" s="504"/>
      <c r="K974" s="504"/>
      <c r="L974" s="504"/>
      <c r="M974" s="504"/>
      <c r="N974" s="504"/>
      <c r="O974" s="504"/>
      <c r="P974" s="504"/>
      <c r="Q974" s="504"/>
      <c r="R974" s="504"/>
      <c r="S974" s="504"/>
      <c r="T974" s="504"/>
      <c r="U974" s="504"/>
      <c r="V974" s="504"/>
      <c r="W974" s="504"/>
      <c r="X974" s="87"/>
    </row>
    <row r="975" spans="1:37" ht="12" customHeight="1" x14ac:dyDescent="0.5">
      <c r="E975" s="505"/>
      <c r="F975" s="504"/>
      <c r="G975" s="504"/>
      <c r="H975" s="504"/>
      <c r="I975" s="504"/>
      <c r="J975" s="504"/>
      <c r="K975" s="504"/>
      <c r="L975" s="504"/>
      <c r="M975" s="504"/>
      <c r="N975" s="504"/>
      <c r="O975" s="504"/>
      <c r="P975" s="504"/>
      <c r="Q975" s="504"/>
      <c r="R975" s="504"/>
      <c r="S975" s="504"/>
      <c r="T975" s="504"/>
      <c r="U975" s="504"/>
      <c r="V975" s="106"/>
      <c r="W975" s="106"/>
      <c r="X975" s="87"/>
    </row>
    <row r="976" spans="1:37" ht="12" customHeight="1" x14ac:dyDescent="0.5">
      <c r="E976" s="505"/>
      <c r="F976" s="506"/>
      <c r="G976" s="506"/>
      <c r="H976" s="506"/>
      <c r="I976" s="506"/>
      <c r="J976" s="506"/>
      <c r="K976" s="506"/>
      <c r="L976" s="506"/>
      <c r="M976" s="506"/>
      <c r="N976" s="506"/>
      <c r="O976" s="506"/>
      <c r="P976" s="506"/>
      <c r="Q976" s="506"/>
      <c r="R976" s="506"/>
      <c r="S976" s="506"/>
      <c r="T976" s="506"/>
      <c r="U976" s="506"/>
      <c r="V976" s="89"/>
      <c r="W976" s="91"/>
      <c r="X976" s="87"/>
      <c r="Y976" s="91"/>
    </row>
    <row r="977" spans="5:25" ht="12" customHeight="1" x14ac:dyDescent="0.5">
      <c r="E977" s="505"/>
      <c r="F977" s="507"/>
      <c r="G977" s="507"/>
      <c r="H977" s="507"/>
      <c r="I977" s="507"/>
      <c r="J977" s="507"/>
      <c r="K977" s="507"/>
      <c r="L977" s="507"/>
      <c r="M977" s="507"/>
      <c r="N977" s="507"/>
      <c r="O977" s="507"/>
      <c r="P977" s="507"/>
      <c r="Q977" s="507"/>
      <c r="R977" s="507"/>
      <c r="S977" s="507"/>
      <c r="T977" s="507"/>
      <c r="U977" s="507"/>
      <c r="V977" s="507"/>
      <c r="W977" s="507"/>
      <c r="X977" s="87"/>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c r="Y978" s="224"/>
    </row>
    <row r="979" spans="5:25" ht="12" customHeight="1" x14ac:dyDescent="0.5">
      <c r="E979" s="505"/>
      <c r="F979" s="508"/>
      <c r="G979" s="508"/>
      <c r="H979" s="508"/>
      <c r="I979" s="508"/>
      <c r="J979" s="508"/>
      <c r="K979" s="508"/>
      <c r="L979" s="508"/>
      <c r="M979" s="508"/>
      <c r="N979" s="508"/>
      <c r="O979" s="508"/>
      <c r="P979" s="508"/>
      <c r="Q979" s="508"/>
      <c r="R979" s="508"/>
      <c r="S979" s="508"/>
      <c r="T979" s="508"/>
      <c r="U979" s="508"/>
    </row>
    <row r="980" spans="5:25" ht="12" customHeight="1" x14ac:dyDescent="0.5">
      <c r="E980" s="505"/>
      <c r="F980" s="407"/>
      <c r="G980" s="407"/>
      <c r="H980" s="407"/>
      <c r="I980" s="407"/>
      <c r="J980" s="407"/>
      <c r="K980" s="407"/>
      <c r="L980" s="407"/>
      <c r="M980" s="407"/>
      <c r="N980" s="407"/>
      <c r="O980" s="407"/>
      <c r="P980" s="407"/>
      <c r="Q980" s="407"/>
      <c r="R980" s="407"/>
      <c r="S980" s="407"/>
      <c r="T980" s="407"/>
      <c r="U980" s="407"/>
      <c r="V980" s="407"/>
      <c r="W980"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1:Z744 Z955:Z956 Z960:Z962 Z842:Z850 Z652:Z660 Z662:Z667">
    <cfRule type="cellIs" dxfId="268" priority="294" stopIfTrue="1" operator="notEqual">
      <formula>""</formula>
    </cfRule>
  </conditionalFormatting>
  <conditionalFormatting sqref="Y969 Y972:Y973 Y976 Z862 Z772 Z718 Z720:Z723 Z681:Z682 Z651 Y978 Z853:Z858 Z745:Z746">
    <cfRule type="cellIs" dxfId="267" priority="293" stopIfTrue="1" operator="notEqual">
      <formula>""</formula>
    </cfRule>
  </conditionalFormatting>
  <conditionalFormatting sqref="Z803">
    <cfRule type="cellIs" dxfId="266" priority="65" stopIfTrue="1" operator="notEqual">
      <formula>""</formula>
    </cfRule>
  </conditionalFormatting>
  <conditionalFormatting sqref="Z14">
    <cfRule type="cellIs" dxfId="265" priority="291" stopIfTrue="1" operator="notEqual">
      <formula>""</formula>
    </cfRule>
  </conditionalFormatting>
  <conditionalFormatting sqref="Z830:Z839">
    <cfRule type="cellIs" dxfId="264" priority="289" stopIfTrue="1" operator="notEqual">
      <formula>""</formula>
    </cfRule>
  </conditionalFormatting>
  <conditionalFormatting sqref="Z805">
    <cfRule type="cellIs" dxfId="263" priority="64" stopIfTrue="1" operator="notEqual">
      <formula>""</formula>
    </cfRule>
  </conditionalFormatting>
  <conditionalFormatting sqref="Z815">
    <cfRule type="cellIs" dxfId="262" priority="287" stopIfTrue="1" operator="notEqual">
      <formula>""</formula>
    </cfRule>
  </conditionalFormatting>
  <conditionalFormatting sqref="Z818">
    <cfRule type="cellIs" dxfId="261" priority="286" stopIfTrue="1" operator="notEqual">
      <formula>""</formula>
    </cfRule>
  </conditionalFormatting>
  <conditionalFormatting sqref="Z869">
    <cfRule type="cellIs" dxfId="260" priority="56" stopIfTrue="1" operator="notEqual">
      <formula>""</formula>
    </cfRule>
  </conditionalFormatting>
  <conditionalFormatting sqref="Z819:Z820">
    <cfRule type="cellIs" dxfId="259" priority="284" stopIfTrue="1" operator="notEqual">
      <formula>""</formula>
    </cfRule>
  </conditionalFormatting>
  <conditionalFormatting sqref="Z821">
    <cfRule type="cellIs" dxfId="258" priority="283" stopIfTrue="1" operator="notEqual">
      <formula>""</formula>
    </cfRule>
  </conditionalFormatting>
  <conditionalFormatting sqref="Z822">
    <cfRule type="cellIs" dxfId="257" priority="281" stopIfTrue="1" operator="notEqual">
      <formula>""</formula>
    </cfRule>
  </conditionalFormatting>
  <conditionalFormatting sqref="Z823">
    <cfRule type="cellIs" dxfId="256" priority="280" stopIfTrue="1" operator="notEqual">
      <formula>""</formula>
    </cfRule>
  </conditionalFormatting>
  <conditionalFormatting sqref="Z825">
    <cfRule type="cellIs" dxfId="255" priority="279" stopIfTrue="1" operator="notEqual">
      <formula>""</formula>
    </cfRule>
  </conditionalFormatting>
  <conditionalFormatting sqref="Z826">
    <cfRule type="cellIs" dxfId="254" priority="278" stopIfTrue="1" operator="notEqual">
      <formula>""</formula>
    </cfRule>
  </conditionalFormatting>
  <conditionalFormatting sqref="Z827">
    <cfRule type="cellIs" dxfId="253" priority="277" stopIfTrue="1" operator="notEqual">
      <formula>""</formula>
    </cfRule>
  </conditionalFormatting>
  <conditionalFormatting sqref="Z861">
    <cfRule type="cellIs" dxfId="252" priority="276" stopIfTrue="1" operator="notEqual">
      <formula>""</formula>
    </cfRule>
  </conditionalFormatting>
  <conditionalFormatting sqref="Z862:Z865">
    <cfRule type="cellIs" dxfId="251" priority="275" stopIfTrue="1" operator="notEqual">
      <formula>""</formula>
    </cfRule>
  </conditionalFormatting>
  <conditionalFormatting sqref="Z9:Z13">
    <cfRule type="cellIs" dxfId="250" priority="274" stopIfTrue="1" operator="notEqual">
      <formula>""</formula>
    </cfRule>
  </conditionalFormatting>
  <conditionalFormatting sqref="Z17:Z19">
    <cfRule type="cellIs" dxfId="249" priority="273" stopIfTrue="1" operator="notEqual">
      <formula>""</formula>
    </cfRule>
  </conditionalFormatting>
  <conditionalFormatting sqref="Z23">
    <cfRule type="cellIs" dxfId="248" priority="272" stopIfTrue="1" operator="notEqual">
      <formula>""</formula>
    </cfRule>
  </conditionalFormatting>
  <conditionalFormatting sqref="Z26">
    <cfRule type="cellIs" dxfId="247" priority="271" stopIfTrue="1" operator="notEqual">
      <formula>""</formula>
    </cfRule>
  </conditionalFormatting>
  <conditionalFormatting sqref="Z29:Z33">
    <cfRule type="cellIs" dxfId="246" priority="270" stopIfTrue="1" operator="notEqual">
      <formula>""</formula>
    </cfRule>
  </conditionalFormatting>
  <conditionalFormatting sqref="Z37:Z38">
    <cfRule type="cellIs" dxfId="245" priority="269" stopIfTrue="1" operator="notEqual">
      <formula>""</formula>
    </cfRule>
  </conditionalFormatting>
  <conditionalFormatting sqref="Z42">
    <cfRule type="cellIs" dxfId="244" priority="268" stopIfTrue="1" operator="notEqual">
      <formula>""</formula>
    </cfRule>
  </conditionalFormatting>
  <conditionalFormatting sqref="Z45">
    <cfRule type="cellIs" dxfId="243" priority="267" stopIfTrue="1" operator="notEqual">
      <formula>""</formula>
    </cfRule>
  </conditionalFormatting>
  <conditionalFormatting sqref="Z48">
    <cfRule type="cellIs" dxfId="242" priority="266" stopIfTrue="1" operator="notEqual">
      <formula>""</formula>
    </cfRule>
  </conditionalFormatting>
  <conditionalFormatting sqref="Z51">
    <cfRule type="cellIs" dxfId="241" priority="265" stopIfTrue="1" operator="notEqual">
      <formula>""</formula>
    </cfRule>
  </conditionalFormatting>
  <conditionalFormatting sqref="Z54">
    <cfRule type="cellIs" dxfId="240" priority="264" stopIfTrue="1" operator="notEqual">
      <formula>""</formula>
    </cfRule>
  </conditionalFormatting>
  <conditionalFormatting sqref="Z57">
    <cfRule type="cellIs" dxfId="239" priority="263" stopIfTrue="1" operator="notEqual">
      <formula>""</formula>
    </cfRule>
  </conditionalFormatting>
  <conditionalFormatting sqref="Z66:Z71">
    <cfRule type="cellIs" dxfId="238" priority="262" stopIfTrue="1" operator="notEqual">
      <formula>""</formula>
    </cfRule>
  </conditionalFormatting>
  <conditionalFormatting sqref="Z75">
    <cfRule type="cellIs" dxfId="237" priority="261" stopIfTrue="1" operator="notEqual">
      <formula>""</formula>
    </cfRule>
  </conditionalFormatting>
  <conditionalFormatting sqref="Z81">
    <cfRule type="cellIs" dxfId="236" priority="260" stopIfTrue="1" operator="notEqual">
      <formula>""</formula>
    </cfRule>
  </conditionalFormatting>
  <conditionalFormatting sqref="Z84">
    <cfRule type="cellIs" dxfId="235" priority="259" stopIfTrue="1" operator="notEqual">
      <formula>""</formula>
    </cfRule>
  </conditionalFormatting>
  <conditionalFormatting sqref="Z87:Z91">
    <cfRule type="cellIs" dxfId="234" priority="258" stopIfTrue="1" operator="notEqual">
      <formula>""</formula>
    </cfRule>
  </conditionalFormatting>
  <conditionalFormatting sqref="Z95">
    <cfRule type="cellIs" dxfId="233" priority="256" stopIfTrue="1" operator="notEqual">
      <formula>""</formula>
    </cfRule>
  </conditionalFormatting>
  <conditionalFormatting sqref="Z96">
    <cfRule type="cellIs" dxfId="232" priority="255" stopIfTrue="1" operator="notEqual">
      <formula>""</formula>
    </cfRule>
  </conditionalFormatting>
  <conditionalFormatting sqref="Z100">
    <cfRule type="cellIs" dxfId="231" priority="253" stopIfTrue="1" operator="notEqual">
      <formula>""</formula>
    </cfRule>
  </conditionalFormatting>
  <conditionalFormatting sqref="Z103">
    <cfRule type="cellIs" dxfId="230" priority="252" stopIfTrue="1" operator="notEqual">
      <formula>""</formula>
    </cfRule>
  </conditionalFormatting>
  <conditionalFormatting sqref="Z106">
    <cfRule type="cellIs" dxfId="229" priority="251" stopIfTrue="1" operator="notEqual">
      <formula>""</formula>
    </cfRule>
  </conditionalFormatting>
  <conditionalFormatting sqref="Z109">
    <cfRule type="cellIs" dxfId="228" priority="250" stopIfTrue="1" operator="notEqual">
      <formula>""</formula>
    </cfRule>
  </conditionalFormatting>
  <conditionalFormatting sqref="Z112">
    <cfRule type="cellIs" dxfId="227" priority="249" stopIfTrue="1" operator="notEqual">
      <formula>""</formula>
    </cfRule>
  </conditionalFormatting>
  <conditionalFormatting sqref="Z115">
    <cfRule type="cellIs" dxfId="226" priority="248" stopIfTrue="1" operator="notEqual">
      <formula>""</formula>
    </cfRule>
  </conditionalFormatting>
  <conditionalFormatting sqref="Z76">
    <cfRule type="cellIs" dxfId="225" priority="247" stopIfTrue="1" operator="notEqual">
      <formula>""</formula>
    </cfRule>
  </conditionalFormatting>
  <conditionalFormatting sqref="Z77">
    <cfRule type="cellIs" dxfId="224" priority="246" stopIfTrue="1" operator="notEqual">
      <formula>""</formula>
    </cfRule>
  </conditionalFormatting>
  <conditionalFormatting sqref="Z123:Z128">
    <cfRule type="cellIs" dxfId="223" priority="245" stopIfTrue="1" operator="notEqual">
      <formula>""</formula>
    </cfRule>
  </conditionalFormatting>
  <conditionalFormatting sqref="Z782:Z783">
    <cfRule type="cellIs" dxfId="222" priority="76" stopIfTrue="1" operator="notEqual">
      <formula>""</formula>
    </cfRule>
  </conditionalFormatting>
  <conditionalFormatting sqref="Z138">
    <cfRule type="cellIs" dxfId="221" priority="243" stopIfTrue="1" operator="notEqual">
      <formula>""</formula>
    </cfRule>
  </conditionalFormatting>
  <conditionalFormatting sqref="Z141">
    <cfRule type="cellIs" dxfId="220" priority="242" stopIfTrue="1" operator="notEqual">
      <formula>""</formula>
    </cfRule>
  </conditionalFormatting>
  <conditionalFormatting sqref="Z144">
    <cfRule type="cellIs" dxfId="219" priority="241" stopIfTrue="1" operator="notEqual">
      <formula>""</formula>
    </cfRule>
  </conditionalFormatting>
  <conditionalFormatting sqref="Z145">
    <cfRule type="cellIs" dxfId="218" priority="240" stopIfTrue="1" operator="notEqual">
      <formula>""</formula>
    </cfRule>
  </conditionalFormatting>
  <conditionalFormatting sqref="Z146:Z148">
    <cfRule type="cellIs" dxfId="217" priority="239" stopIfTrue="1" operator="notEqual">
      <formula>""</formula>
    </cfRule>
  </conditionalFormatting>
  <conditionalFormatting sqref="Z152:Z153">
    <cfRule type="cellIs" dxfId="216" priority="238" stopIfTrue="1" operator="notEqual">
      <formula>""</formula>
    </cfRule>
  </conditionalFormatting>
  <conditionalFormatting sqref="Z157">
    <cfRule type="cellIs" dxfId="215" priority="237" stopIfTrue="1" operator="notEqual">
      <formula>""</formula>
    </cfRule>
  </conditionalFormatting>
  <conditionalFormatting sqref="Z160">
    <cfRule type="cellIs" dxfId="214" priority="236" stopIfTrue="1" operator="notEqual">
      <formula>""</formula>
    </cfRule>
  </conditionalFormatting>
  <conditionalFormatting sqref="Z163">
    <cfRule type="cellIs" dxfId="213" priority="235" stopIfTrue="1" operator="notEqual">
      <formula>""</formula>
    </cfRule>
  </conditionalFormatting>
  <conditionalFormatting sqref="Z166">
    <cfRule type="cellIs" dxfId="212" priority="234" stopIfTrue="1" operator="notEqual">
      <formula>""</formula>
    </cfRule>
  </conditionalFormatting>
  <conditionalFormatting sqref="Z169">
    <cfRule type="cellIs" dxfId="211" priority="233" stopIfTrue="1" operator="notEqual">
      <formula>""</formula>
    </cfRule>
  </conditionalFormatting>
  <conditionalFormatting sqref="Z172">
    <cfRule type="cellIs" dxfId="210" priority="232" stopIfTrue="1" operator="notEqual">
      <formula>""</formula>
    </cfRule>
  </conditionalFormatting>
  <conditionalFormatting sqref="Z132">
    <cfRule type="cellIs" dxfId="209" priority="231" stopIfTrue="1" operator="notEqual">
      <formula>""</formula>
    </cfRule>
  </conditionalFormatting>
  <conditionalFormatting sqref="Z133">
    <cfRule type="cellIs" dxfId="208" priority="230" stopIfTrue="1" operator="notEqual">
      <formula>""</formula>
    </cfRule>
  </conditionalFormatting>
  <conditionalFormatting sqref="Z134">
    <cfRule type="cellIs" dxfId="207" priority="229" stopIfTrue="1" operator="notEqual">
      <formula>""</formula>
    </cfRule>
  </conditionalFormatting>
  <conditionalFormatting sqref="Z189">
    <cfRule type="cellIs" dxfId="206" priority="228" stopIfTrue="1" operator="notEqual">
      <formula>""</formula>
    </cfRule>
  </conditionalFormatting>
  <conditionalFormatting sqref="Z190">
    <cfRule type="cellIs" dxfId="205" priority="227" stopIfTrue="1" operator="notEqual">
      <formula>""</formula>
    </cfRule>
  </conditionalFormatting>
  <conditionalFormatting sqref="Z191">
    <cfRule type="cellIs" dxfId="204" priority="226" stopIfTrue="1" operator="notEqual">
      <formula>""</formula>
    </cfRule>
  </conditionalFormatting>
  <conditionalFormatting sqref="Z246">
    <cfRule type="cellIs" dxfId="203" priority="225" stopIfTrue="1" operator="notEqual">
      <formula>""</formula>
    </cfRule>
  </conditionalFormatting>
  <conditionalFormatting sqref="Z247">
    <cfRule type="cellIs" dxfId="202" priority="224" stopIfTrue="1" operator="notEqual">
      <formula>""</formula>
    </cfRule>
  </conditionalFormatting>
  <conditionalFormatting sqref="Z248">
    <cfRule type="cellIs" dxfId="201" priority="223" stopIfTrue="1" operator="notEqual">
      <formula>""</formula>
    </cfRule>
  </conditionalFormatting>
  <conditionalFormatting sqref="Z303">
    <cfRule type="cellIs" dxfId="200" priority="222" stopIfTrue="1" operator="notEqual">
      <formula>""</formula>
    </cfRule>
  </conditionalFormatting>
  <conditionalFormatting sqref="Z304">
    <cfRule type="cellIs" dxfId="199" priority="221" stopIfTrue="1" operator="notEqual">
      <formula>""</formula>
    </cfRule>
  </conditionalFormatting>
  <conditionalFormatting sqref="Z305">
    <cfRule type="cellIs" dxfId="198" priority="220" stopIfTrue="1" operator="notEqual">
      <formula>""</formula>
    </cfRule>
  </conditionalFormatting>
  <conditionalFormatting sqref="Z360">
    <cfRule type="cellIs" dxfId="197" priority="219" stopIfTrue="1" operator="notEqual">
      <formula>""</formula>
    </cfRule>
  </conditionalFormatting>
  <conditionalFormatting sqref="Z361">
    <cfRule type="cellIs" dxfId="196" priority="218" stopIfTrue="1" operator="notEqual">
      <formula>""</formula>
    </cfRule>
  </conditionalFormatting>
  <conditionalFormatting sqref="Z362">
    <cfRule type="cellIs" dxfId="195" priority="217" stopIfTrue="1" operator="notEqual">
      <formula>""</formula>
    </cfRule>
  </conditionalFormatting>
  <conditionalFormatting sqref="Z417">
    <cfRule type="cellIs" dxfId="194" priority="216" stopIfTrue="1" operator="notEqual">
      <formula>""</formula>
    </cfRule>
  </conditionalFormatting>
  <conditionalFormatting sqref="Z418">
    <cfRule type="cellIs" dxfId="193" priority="215" stopIfTrue="1" operator="notEqual">
      <formula>""</formula>
    </cfRule>
  </conditionalFormatting>
  <conditionalFormatting sqref="Z419">
    <cfRule type="cellIs" dxfId="192" priority="214" stopIfTrue="1" operator="notEqual">
      <formula>""</formula>
    </cfRule>
  </conditionalFormatting>
  <conditionalFormatting sqref="Z474">
    <cfRule type="cellIs" dxfId="191" priority="213" stopIfTrue="1" operator="notEqual">
      <formula>""</formula>
    </cfRule>
  </conditionalFormatting>
  <conditionalFormatting sqref="Z475">
    <cfRule type="cellIs" dxfId="190" priority="212" stopIfTrue="1" operator="notEqual">
      <formula>""</formula>
    </cfRule>
  </conditionalFormatting>
  <conditionalFormatting sqref="Z476">
    <cfRule type="cellIs" dxfId="189" priority="211" stopIfTrue="1" operator="notEqual">
      <formula>""</formula>
    </cfRule>
  </conditionalFormatting>
  <conditionalFormatting sqref="Z499">
    <cfRule type="cellIs" dxfId="188" priority="140" stopIfTrue="1" operator="notEqual">
      <formula>""</formula>
    </cfRule>
  </conditionalFormatting>
  <conditionalFormatting sqref="Z533">
    <cfRule type="cellIs" dxfId="187" priority="209" stopIfTrue="1" operator="notEqual">
      <formula>""</formula>
    </cfRule>
  </conditionalFormatting>
  <conditionalFormatting sqref="Z534">
    <cfRule type="cellIs" dxfId="186" priority="208" stopIfTrue="1" operator="notEqual">
      <formula>""</formula>
    </cfRule>
  </conditionalFormatting>
  <conditionalFormatting sqref="Z594">
    <cfRule type="cellIs" dxfId="185" priority="207" stopIfTrue="1" operator="notEqual">
      <formula>""</formula>
    </cfRule>
  </conditionalFormatting>
  <conditionalFormatting sqref="Z595">
    <cfRule type="cellIs" dxfId="184" priority="206" stopIfTrue="1" operator="notEqual">
      <formula>""</formula>
    </cfRule>
  </conditionalFormatting>
  <conditionalFormatting sqref="Z596">
    <cfRule type="cellIs" dxfId="183" priority="205" stopIfTrue="1" operator="notEqual">
      <formula>""</formula>
    </cfRule>
  </conditionalFormatting>
  <conditionalFormatting sqref="Z180:Z185">
    <cfRule type="cellIs" dxfId="182" priority="204" stopIfTrue="1" operator="notEqual">
      <formula>""</formula>
    </cfRule>
  </conditionalFormatting>
  <conditionalFormatting sqref="Z195">
    <cfRule type="cellIs" dxfId="181" priority="203" stopIfTrue="1" operator="notEqual">
      <formula>""</formula>
    </cfRule>
  </conditionalFormatting>
  <conditionalFormatting sqref="Z198">
    <cfRule type="cellIs" dxfId="180" priority="202" stopIfTrue="1" operator="notEqual">
      <formula>""</formula>
    </cfRule>
  </conditionalFormatting>
  <conditionalFormatting sqref="Z201">
    <cfRule type="cellIs" dxfId="179" priority="201" stopIfTrue="1" operator="notEqual">
      <formula>""</formula>
    </cfRule>
  </conditionalFormatting>
  <conditionalFormatting sqref="Z202:Z205">
    <cfRule type="cellIs" dxfId="178" priority="200" stopIfTrue="1" operator="notEqual">
      <formula>""</formula>
    </cfRule>
  </conditionalFormatting>
  <conditionalFormatting sqref="Z209:Z210">
    <cfRule type="cellIs" dxfId="177" priority="199" stopIfTrue="1" operator="notEqual">
      <formula>""</formula>
    </cfRule>
  </conditionalFormatting>
  <conditionalFormatting sqref="Z214">
    <cfRule type="cellIs" dxfId="176" priority="198" stopIfTrue="1" operator="notEqual">
      <formula>""</formula>
    </cfRule>
  </conditionalFormatting>
  <conditionalFormatting sqref="Z217">
    <cfRule type="cellIs" dxfId="175" priority="197" stopIfTrue="1" operator="notEqual">
      <formula>""</formula>
    </cfRule>
  </conditionalFormatting>
  <conditionalFormatting sqref="Z220">
    <cfRule type="cellIs" dxfId="174" priority="196" stopIfTrue="1" operator="notEqual">
      <formula>""</formula>
    </cfRule>
  </conditionalFormatting>
  <conditionalFormatting sqref="Z223">
    <cfRule type="cellIs" dxfId="173" priority="195" stopIfTrue="1" operator="notEqual">
      <formula>""</formula>
    </cfRule>
  </conditionalFormatting>
  <conditionalFormatting sqref="Z226">
    <cfRule type="cellIs" dxfId="172" priority="194" stopIfTrue="1" operator="notEqual">
      <formula>""</formula>
    </cfRule>
  </conditionalFormatting>
  <conditionalFormatting sqref="Z229">
    <cfRule type="cellIs" dxfId="171" priority="193" stopIfTrue="1" operator="notEqual">
      <formula>""</formula>
    </cfRule>
  </conditionalFormatting>
  <conditionalFormatting sqref="Z237:Z242">
    <cfRule type="cellIs" dxfId="170" priority="192" stopIfTrue="1" operator="notEqual">
      <formula>""</formula>
    </cfRule>
  </conditionalFormatting>
  <conditionalFormatting sqref="Z252">
    <cfRule type="cellIs" dxfId="169" priority="191" stopIfTrue="1" operator="notEqual">
      <formula>""</formula>
    </cfRule>
  </conditionalFormatting>
  <conditionalFormatting sqref="Z255">
    <cfRule type="cellIs" dxfId="168" priority="190" stopIfTrue="1" operator="notEqual">
      <formula>""</formula>
    </cfRule>
  </conditionalFormatting>
  <conditionalFormatting sqref="Z258:Z262">
    <cfRule type="cellIs" dxfId="167" priority="189" stopIfTrue="1" operator="notEqual">
      <formula>""</formula>
    </cfRule>
  </conditionalFormatting>
  <conditionalFormatting sqref="Z266:Z267">
    <cfRule type="cellIs" dxfId="166" priority="188" stopIfTrue="1" operator="notEqual">
      <formula>""</formula>
    </cfRule>
  </conditionalFormatting>
  <conditionalFormatting sqref="Z271">
    <cfRule type="cellIs" dxfId="165" priority="187" stopIfTrue="1" operator="notEqual">
      <formula>""</formula>
    </cfRule>
  </conditionalFormatting>
  <conditionalFormatting sqref="Z274">
    <cfRule type="cellIs" dxfId="164" priority="185" stopIfTrue="1" operator="notEqual">
      <formula>""</formula>
    </cfRule>
  </conditionalFormatting>
  <conditionalFormatting sqref="Z277">
    <cfRule type="cellIs" dxfId="163" priority="184" stopIfTrue="1" operator="notEqual">
      <formula>""</formula>
    </cfRule>
  </conditionalFormatting>
  <conditionalFormatting sqref="Z280">
    <cfRule type="cellIs" dxfId="162" priority="183" stopIfTrue="1" operator="notEqual">
      <formula>""</formula>
    </cfRule>
  </conditionalFormatting>
  <conditionalFormatting sqref="Z283">
    <cfRule type="cellIs" dxfId="161" priority="182" stopIfTrue="1" operator="notEqual">
      <formula>""</formula>
    </cfRule>
  </conditionalFormatting>
  <conditionalFormatting sqref="Z286">
    <cfRule type="cellIs" dxfId="160" priority="181" stopIfTrue="1" operator="notEqual">
      <formula>""</formula>
    </cfRule>
  </conditionalFormatting>
  <conditionalFormatting sqref="Z295:Z299">
    <cfRule type="cellIs" dxfId="159" priority="180" stopIfTrue="1" operator="notEqual">
      <formula>""</formula>
    </cfRule>
  </conditionalFormatting>
  <conditionalFormatting sqref="Z309">
    <cfRule type="cellIs" dxfId="158" priority="179" stopIfTrue="1" operator="notEqual">
      <formula>""</formula>
    </cfRule>
  </conditionalFormatting>
  <conditionalFormatting sqref="Z312">
    <cfRule type="cellIs" dxfId="157" priority="178" stopIfTrue="1" operator="notEqual">
      <formula>""</formula>
    </cfRule>
  </conditionalFormatting>
  <conditionalFormatting sqref="Z315:Z319">
    <cfRule type="cellIs" dxfId="156" priority="177" stopIfTrue="1" operator="notEqual">
      <formula>""</formula>
    </cfRule>
  </conditionalFormatting>
  <conditionalFormatting sqref="Z323:Z324">
    <cfRule type="cellIs" dxfId="155" priority="176" stopIfTrue="1" operator="notEqual">
      <formula>""</formula>
    </cfRule>
  </conditionalFormatting>
  <conditionalFormatting sqref="Z328">
    <cfRule type="cellIs" dxfId="154" priority="175" stopIfTrue="1" operator="notEqual">
      <formula>""</formula>
    </cfRule>
  </conditionalFormatting>
  <conditionalFormatting sqref="Z331">
    <cfRule type="cellIs" dxfId="153" priority="173" stopIfTrue="1" operator="notEqual">
      <formula>""</formula>
    </cfRule>
  </conditionalFormatting>
  <conditionalFormatting sqref="Z334">
    <cfRule type="cellIs" dxfId="152" priority="172" stopIfTrue="1" operator="notEqual">
      <formula>""</formula>
    </cfRule>
  </conditionalFormatting>
  <conditionalFormatting sqref="Z337">
    <cfRule type="cellIs" dxfId="151" priority="171" stopIfTrue="1" operator="notEqual">
      <formula>""</formula>
    </cfRule>
  </conditionalFormatting>
  <conditionalFormatting sqref="Z340">
    <cfRule type="cellIs" dxfId="150" priority="170" stopIfTrue="1" operator="notEqual">
      <formula>""</formula>
    </cfRule>
  </conditionalFormatting>
  <conditionalFormatting sqref="Z343">
    <cfRule type="cellIs" dxfId="149" priority="169" stopIfTrue="1" operator="notEqual">
      <formula>""</formula>
    </cfRule>
  </conditionalFormatting>
  <conditionalFormatting sqref="Z351:Z356">
    <cfRule type="cellIs" dxfId="148" priority="168" stopIfTrue="1" operator="notEqual">
      <formula>""</formula>
    </cfRule>
  </conditionalFormatting>
  <conditionalFormatting sqref="Z366">
    <cfRule type="cellIs" dxfId="147" priority="167" stopIfTrue="1" operator="notEqual">
      <formula>""</formula>
    </cfRule>
  </conditionalFormatting>
  <conditionalFormatting sqref="Z369">
    <cfRule type="cellIs" dxfId="146" priority="166" stopIfTrue="1" operator="notEqual">
      <formula>""</formula>
    </cfRule>
  </conditionalFormatting>
  <conditionalFormatting sqref="Z372:Z376">
    <cfRule type="cellIs" dxfId="145" priority="165" stopIfTrue="1" operator="notEqual">
      <formula>""</formula>
    </cfRule>
  </conditionalFormatting>
  <conditionalFormatting sqref="Z380:Z381">
    <cfRule type="cellIs" dxfId="144" priority="164" stopIfTrue="1" operator="notEqual">
      <formula>""</formula>
    </cfRule>
  </conditionalFormatting>
  <conditionalFormatting sqref="Z385">
    <cfRule type="cellIs" dxfId="143" priority="163" stopIfTrue="1" operator="notEqual">
      <formula>""</formula>
    </cfRule>
  </conditionalFormatting>
  <conditionalFormatting sqref="Z388">
    <cfRule type="cellIs" dxfId="142" priority="162" stopIfTrue="1" operator="notEqual">
      <formula>""</formula>
    </cfRule>
  </conditionalFormatting>
  <conditionalFormatting sqref="Z391">
    <cfRule type="cellIs" dxfId="141" priority="161" stopIfTrue="1" operator="notEqual">
      <formula>""</formula>
    </cfRule>
  </conditionalFormatting>
  <conditionalFormatting sqref="Z394">
    <cfRule type="cellIs" dxfId="140" priority="160" stopIfTrue="1" operator="notEqual">
      <formula>""</formula>
    </cfRule>
  </conditionalFormatting>
  <conditionalFormatting sqref="Z397">
    <cfRule type="cellIs" dxfId="139" priority="159" stopIfTrue="1" operator="notEqual">
      <formula>""</formula>
    </cfRule>
  </conditionalFormatting>
  <conditionalFormatting sqref="Z400">
    <cfRule type="cellIs" dxfId="138" priority="158" stopIfTrue="1" operator="notEqual">
      <formula>""</formula>
    </cfRule>
  </conditionalFormatting>
  <conditionalFormatting sqref="Z408:Z413">
    <cfRule type="cellIs" dxfId="137" priority="157" stopIfTrue="1" operator="notEqual">
      <formula>""</formula>
    </cfRule>
  </conditionalFormatting>
  <conditionalFormatting sqref="Z423">
    <cfRule type="cellIs" dxfId="136" priority="155" stopIfTrue="1" operator="notEqual">
      <formula>""</formula>
    </cfRule>
  </conditionalFormatting>
  <conditionalFormatting sqref="Z426">
    <cfRule type="cellIs" dxfId="135" priority="154" stopIfTrue="1" operator="notEqual">
      <formula>""</formula>
    </cfRule>
  </conditionalFormatting>
  <conditionalFormatting sqref="Z429:Z433">
    <cfRule type="cellIs" dxfId="134" priority="153" stopIfTrue="1" operator="notEqual">
      <formula>""</formula>
    </cfRule>
  </conditionalFormatting>
  <conditionalFormatting sqref="Z437:Z438">
    <cfRule type="cellIs" dxfId="133" priority="152" stopIfTrue="1" operator="notEqual">
      <formula>""</formula>
    </cfRule>
  </conditionalFormatting>
  <conditionalFormatting sqref="Z442">
    <cfRule type="cellIs" dxfId="132" priority="151" stopIfTrue="1" operator="notEqual">
      <formula>""</formula>
    </cfRule>
  </conditionalFormatting>
  <conditionalFormatting sqref="Z445">
    <cfRule type="cellIs" dxfId="131" priority="150" stopIfTrue="1" operator="notEqual">
      <formula>""</formula>
    </cfRule>
  </conditionalFormatting>
  <conditionalFormatting sqref="Z448">
    <cfRule type="cellIs" dxfId="130" priority="149" stopIfTrue="1" operator="notEqual">
      <formula>""</formula>
    </cfRule>
  </conditionalFormatting>
  <conditionalFormatting sqref="Z451">
    <cfRule type="cellIs" dxfId="129" priority="148" stopIfTrue="1" operator="notEqual">
      <formula>""</formula>
    </cfRule>
  </conditionalFormatting>
  <conditionalFormatting sqref="Z454">
    <cfRule type="cellIs" dxfId="128" priority="147" stopIfTrue="1" operator="notEqual">
      <formula>""</formula>
    </cfRule>
  </conditionalFormatting>
  <conditionalFormatting sqref="Z457">
    <cfRule type="cellIs" dxfId="127" priority="146" stopIfTrue="1" operator="notEqual">
      <formula>""</formula>
    </cfRule>
  </conditionalFormatting>
  <conditionalFormatting sqref="Z465:Z470">
    <cfRule type="cellIs" dxfId="126" priority="145" stopIfTrue="1" operator="notEqual">
      <formula>""</formula>
    </cfRule>
  </conditionalFormatting>
  <conditionalFormatting sqref="Z480">
    <cfRule type="cellIs" dxfId="125" priority="144" stopIfTrue="1" operator="notEqual">
      <formula>""</formula>
    </cfRule>
  </conditionalFormatting>
  <conditionalFormatting sqref="Z483">
    <cfRule type="cellIs" dxfId="124" priority="143" stopIfTrue="1" operator="notEqual">
      <formula>""</formula>
    </cfRule>
  </conditionalFormatting>
  <conditionalFormatting sqref="Z486:Z490">
    <cfRule type="cellIs" dxfId="123" priority="142" stopIfTrue="1" operator="notEqual">
      <formula>""</formula>
    </cfRule>
  </conditionalFormatting>
  <conditionalFormatting sqref="Z494:Z495">
    <cfRule type="cellIs" dxfId="122" priority="141" stopIfTrue="1" operator="notEqual">
      <formula>""</formula>
    </cfRule>
  </conditionalFormatting>
  <conditionalFormatting sqref="Z511">
    <cfRule type="cellIs" dxfId="121" priority="136" stopIfTrue="1" operator="notEqual">
      <formula>""</formula>
    </cfRule>
  </conditionalFormatting>
  <conditionalFormatting sqref="Z502">
    <cfRule type="cellIs" dxfId="120" priority="139" stopIfTrue="1" operator="notEqual">
      <formula>""</formula>
    </cfRule>
  </conditionalFormatting>
  <conditionalFormatting sqref="Z505">
    <cfRule type="cellIs" dxfId="119" priority="138" stopIfTrue="1" operator="notEqual">
      <formula>""</formula>
    </cfRule>
  </conditionalFormatting>
  <conditionalFormatting sqref="Z508">
    <cfRule type="cellIs" dxfId="118" priority="137" stopIfTrue="1" operator="notEqual">
      <formula>""</formula>
    </cfRule>
  </conditionalFormatting>
  <conditionalFormatting sqref="Z514">
    <cfRule type="cellIs" dxfId="117" priority="135" stopIfTrue="1" operator="notEqual">
      <formula>""</formula>
    </cfRule>
  </conditionalFormatting>
  <conditionalFormatting sqref="Z523:Z528">
    <cfRule type="cellIs" dxfId="116" priority="134" stopIfTrue="1" operator="notEqual">
      <formula>""</formula>
    </cfRule>
  </conditionalFormatting>
  <conditionalFormatting sqref="Z532">
    <cfRule type="cellIs" dxfId="115" priority="133" stopIfTrue="1" operator="notEqual">
      <formula>""</formula>
    </cfRule>
  </conditionalFormatting>
  <conditionalFormatting sqref="Z538">
    <cfRule type="cellIs" dxfId="114" priority="132" stopIfTrue="1" operator="notEqual">
      <formula>""</formula>
    </cfRule>
  </conditionalFormatting>
  <conditionalFormatting sqref="Z541">
    <cfRule type="cellIs" dxfId="113" priority="131" stopIfTrue="1" operator="notEqual">
      <formula>""</formula>
    </cfRule>
  </conditionalFormatting>
  <conditionalFormatting sqref="Z544:Z548">
    <cfRule type="cellIs" dxfId="112" priority="130" stopIfTrue="1" operator="notEqual">
      <formula>""</formula>
    </cfRule>
  </conditionalFormatting>
  <conditionalFormatting sqref="Z552:Z553">
    <cfRule type="cellIs" dxfId="111" priority="129" stopIfTrue="1" operator="notEqual">
      <formula>""</formula>
    </cfRule>
  </conditionalFormatting>
  <conditionalFormatting sqref="Z557">
    <cfRule type="cellIs" dxfId="110" priority="128" stopIfTrue="1" operator="notEqual">
      <formula>""</formula>
    </cfRule>
  </conditionalFormatting>
  <conditionalFormatting sqref="Z560">
    <cfRule type="cellIs" dxfId="109" priority="127" stopIfTrue="1" operator="notEqual">
      <formula>""</formula>
    </cfRule>
  </conditionalFormatting>
  <conditionalFormatting sqref="Z563">
    <cfRule type="cellIs" dxfId="108" priority="126" stopIfTrue="1" operator="notEqual">
      <formula>""</formula>
    </cfRule>
  </conditionalFormatting>
  <conditionalFormatting sqref="Z566">
    <cfRule type="cellIs" dxfId="107" priority="125" stopIfTrue="1" operator="notEqual">
      <formula>""</formula>
    </cfRule>
  </conditionalFormatting>
  <conditionalFormatting sqref="Z569">
    <cfRule type="cellIs" dxfId="106" priority="124" stopIfTrue="1" operator="notEqual">
      <formula>""</formula>
    </cfRule>
  </conditionalFormatting>
  <conditionalFormatting sqref="Z572">
    <cfRule type="cellIs" dxfId="105" priority="123" stopIfTrue="1" operator="notEqual">
      <formula>""</formula>
    </cfRule>
  </conditionalFormatting>
  <conditionalFormatting sqref="Z585">
    <cfRule type="cellIs" dxfId="104" priority="122" stopIfTrue="1" operator="notEqual">
      <formula>""</formula>
    </cfRule>
  </conditionalFormatting>
  <conditionalFormatting sqref="Z586:Z590">
    <cfRule type="cellIs" dxfId="103" priority="121" stopIfTrue="1" operator="notEqual">
      <formula>""</formula>
    </cfRule>
  </conditionalFormatting>
  <conditionalFormatting sqref="Z600">
    <cfRule type="cellIs" dxfId="102" priority="120" stopIfTrue="1" operator="notEqual">
      <formula>""</formula>
    </cfRule>
  </conditionalFormatting>
  <conditionalFormatting sqref="Z603">
    <cfRule type="cellIs" dxfId="101" priority="119" stopIfTrue="1" operator="notEqual">
      <formula>""</formula>
    </cfRule>
  </conditionalFormatting>
  <conditionalFormatting sqref="Z605:Z610">
    <cfRule type="cellIs" dxfId="100" priority="118" stopIfTrue="1" operator="notEqual">
      <formula>""</formula>
    </cfRule>
  </conditionalFormatting>
  <conditionalFormatting sqref="Z614:Z615">
    <cfRule type="cellIs" dxfId="99" priority="117" stopIfTrue="1" operator="notEqual">
      <formula>""</formula>
    </cfRule>
  </conditionalFormatting>
  <conditionalFormatting sqref="Z619">
    <cfRule type="cellIs" dxfId="98" priority="116" stopIfTrue="1" operator="notEqual">
      <formula>""</formula>
    </cfRule>
  </conditionalFormatting>
  <conditionalFormatting sqref="Z622">
    <cfRule type="cellIs" dxfId="97" priority="115" stopIfTrue="1" operator="notEqual">
      <formula>""</formula>
    </cfRule>
  </conditionalFormatting>
  <conditionalFormatting sqref="Z625">
    <cfRule type="cellIs" dxfId="96" priority="114" stopIfTrue="1" operator="notEqual">
      <formula>""</formula>
    </cfRule>
  </conditionalFormatting>
  <conditionalFormatting sqref="Z628">
    <cfRule type="cellIs" dxfId="95" priority="113" stopIfTrue="1" operator="notEqual">
      <formula>""</formula>
    </cfRule>
  </conditionalFormatting>
  <conditionalFormatting sqref="Z631">
    <cfRule type="cellIs" dxfId="94" priority="112" stopIfTrue="1" operator="notEqual">
      <formula>""</formula>
    </cfRule>
  </conditionalFormatting>
  <conditionalFormatting sqref="Z634">
    <cfRule type="cellIs" dxfId="93" priority="111" stopIfTrue="1" operator="notEqual">
      <formula>""</formula>
    </cfRule>
  </conditionalFormatting>
  <conditionalFormatting sqref="Z294">
    <cfRule type="cellIs" dxfId="92" priority="110" stopIfTrue="1" operator="notEqual">
      <formula>""</formula>
    </cfRule>
  </conditionalFormatting>
  <conditionalFormatting sqref="Z669:Z671">
    <cfRule type="cellIs" dxfId="91" priority="108" stopIfTrue="1" operator="notEqual">
      <formula>""</formula>
    </cfRule>
  </conditionalFormatting>
  <conditionalFormatting sqref="Z674">
    <cfRule type="cellIs" dxfId="90" priority="107" stopIfTrue="1" operator="notEqual">
      <formula>""</formula>
    </cfRule>
  </conditionalFormatting>
  <conditionalFormatting sqref="Z675">
    <cfRule type="cellIs" dxfId="89" priority="106" stopIfTrue="1" operator="notEqual">
      <formula>""</formula>
    </cfRule>
  </conditionalFormatting>
  <conditionalFormatting sqref="Z676:Z680">
    <cfRule type="cellIs" dxfId="88" priority="105" stopIfTrue="1" operator="notEqual">
      <formula>""</formula>
    </cfRule>
  </conditionalFormatting>
  <conditionalFormatting sqref="Z684">
    <cfRule type="cellIs" dxfId="87" priority="104" stopIfTrue="1" operator="notEqual">
      <formula>""</formula>
    </cfRule>
  </conditionalFormatting>
  <conditionalFormatting sqref="Z686">
    <cfRule type="cellIs" dxfId="86" priority="103" stopIfTrue="1" operator="notEqual">
      <formula>""</formula>
    </cfRule>
  </conditionalFormatting>
  <conditionalFormatting sqref="Z688">
    <cfRule type="cellIs" dxfId="85" priority="102" stopIfTrue="1" operator="notEqual">
      <formula>""</formula>
    </cfRule>
  </conditionalFormatting>
  <conditionalFormatting sqref="Z704">
    <cfRule type="cellIs" dxfId="84" priority="101" stopIfTrue="1" operator="notEqual">
      <formula>""</formula>
    </cfRule>
  </conditionalFormatting>
  <conditionalFormatting sqref="Z706">
    <cfRule type="cellIs" dxfId="83" priority="100" stopIfTrue="1" operator="notEqual">
      <formula>""</formula>
    </cfRule>
  </conditionalFormatting>
  <conditionalFormatting sqref="Z708">
    <cfRule type="cellIs" dxfId="82" priority="99" stopIfTrue="1" operator="notEqual">
      <formula>""</formula>
    </cfRule>
  </conditionalFormatting>
  <conditionalFormatting sqref="Z710">
    <cfRule type="cellIs" dxfId="81" priority="98" stopIfTrue="1" operator="notEqual">
      <formula>""</formula>
    </cfRule>
  </conditionalFormatting>
  <conditionalFormatting sqref="Z717">
    <cfRule type="cellIs" dxfId="80" priority="97" stopIfTrue="1" operator="notEqual">
      <formula>""</formula>
    </cfRule>
  </conditionalFormatting>
  <conditionalFormatting sqref="Z725">
    <cfRule type="cellIs" dxfId="79" priority="95" stopIfTrue="1" operator="notEqual">
      <formula>""</formula>
    </cfRule>
  </conditionalFormatting>
  <conditionalFormatting sqref="Z730">
    <cfRule type="cellIs" dxfId="78" priority="94" stopIfTrue="1" operator="notEqual">
      <formula>""</formula>
    </cfRule>
  </conditionalFormatting>
  <conditionalFormatting sqref="Z867">
    <cfRule type="cellIs" dxfId="77" priority="53" stopIfTrue="1" operator="notEqual">
      <formula>""</formula>
    </cfRule>
  </conditionalFormatting>
  <conditionalFormatting sqref="Z731">
    <cfRule type="cellIs" dxfId="76" priority="91" stopIfTrue="1" operator="notEqual">
      <formula>""</formula>
    </cfRule>
  </conditionalFormatting>
  <conditionalFormatting sqref="Z732:Z738">
    <cfRule type="cellIs" dxfId="75" priority="90" stopIfTrue="1" operator="notEqual">
      <formula>""</formula>
    </cfRule>
  </conditionalFormatting>
  <conditionalFormatting sqref="Z748">
    <cfRule type="cellIs" dxfId="74" priority="88" stopIfTrue="1" operator="notEqual">
      <formula>""</formula>
    </cfRule>
  </conditionalFormatting>
  <conditionalFormatting sqref="Z750">
    <cfRule type="cellIs" dxfId="73" priority="85" stopIfTrue="1" operator="notEqual">
      <formula>""</formula>
    </cfRule>
  </conditionalFormatting>
  <conditionalFormatting sqref="Z752:Z756">
    <cfRule type="cellIs" dxfId="72" priority="84" stopIfTrue="1" operator="notEqual">
      <formula>""</formula>
    </cfRule>
  </conditionalFormatting>
  <conditionalFormatting sqref="Z763">
    <cfRule type="cellIs" dxfId="71" priority="83" stopIfTrue="1" operator="notEqual">
      <formula>""</formula>
    </cfRule>
  </conditionalFormatting>
  <conditionalFormatting sqref="Z765">
    <cfRule type="cellIs" dxfId="70" priority="81" stopIfTrue="1" operator="notEqual">
      <formula>""</formula>
    </cfRule>
  </conditionalFormatting>
  <conditionalFormatting sqref="Z767">
    <cfRule type="cellIs" dxfId="69" priority="80" stopIfTrue="1" operator="notEqual">
      <formula>""</formula>
    </cfRule>
  </conditionalFormatting>
  <conditionalFormatting sqref="Z769">
    <cfRule type="cellIs" dxfId="68" priority="79" stopIfTrue="1" operator="notEqual">
      <formula>""</formula>
    </cfRule>
  </conditionalFormatting>
  <conditionalFormatting sqref="Z771">
    <cfRule type="cellIs" dxfId="67" priority="78" stopIfTrue="1" operator="notEqual">
      <formula>""</formula>
    </cfRule>
  </conditionalFormatting>
  <conditionalFormatting sqref="Z780">
    <cfRule type="cellIs" dxfId="66" priority="77" stopIfTrue="1" operator="notEqual">
      <formula>""</formula>
    </cfRule>
  </conditionalFormatting>
  <conditionalFormatting sqref="Z793">
    <cfRule type="cellIs" dxfId="65" priority="72" stopIfTrue="1" operator="notEqual">
      <formula>""</formula>
    </cfRule>
  </conditionalFormatting>
  <conditionalFormatting sqref="Z785">
    <cfRule type="cellIs" dxfId="64" priority="75" stopIfTrue="1" operator="notEqual">
      <formula>""</formula>
    </cfRule>
  </conditionalFormatting>
  <conditionalFormatting sqref="Z786">
    <cfRule type="cellIs" dxfId="63" priority="74" stopIfTrue="1" operator="notEqual">
      <formula>""</formula>
    </cfRule>
  </conditionalFormatting>
  <conditionalFormatting sqref="Z788">
    <cfRule type="cellIs" dxfId="62" priority="73" stopIfTrue="1" operator="notEqual">
      <formula>""</formula>
    </cfRule>
  </conditionalFormatting>
  <conditionalFormatting sqref="Z795">
    <cfRule type="cellIs" dxfId="61" priority="71" stopIfTrue="1" operator="notEqual">
      <formula>""</formula>
    </cfRule>
  </conditionalFormatting>
  <conditionalFormatting sqref="Z797">
    <cfRule type="cellIs" dxfId="60" priority="69" stopIfTrue="1" operator="notEqual">
      <formula>""</formula>
    </cfRule>
  </conditionalFormatting>
  <conditionalFormatting sqref="Z796">
    <cfRule type="cellIs" dxfId="59" priority="68" stopIfTrue="1" operator="notEqual">
      <formula>""</formula>
    </cfRule>
  </conditionalFormatting>
  <conditionalFormatting sqref="Z799">
    <cfRule type="cellIs" dxfId="58" priority="67" stopIfTrue="1" operator="notEqual">
      <formula>""</formula>
    </cfRule>
  </conditionalFormatting>
  <conditionalFormatting sqref="Z801">
    <cfRule type="cellIs" dxfId="57" priority="66" stopIfTrue="1" operator="notEqual">
      <formula>""</formula>
    </cfRule>
  </conditionalFormatting>
  <conditionalFormatting sqref="Z965">
    <cfRule type="cellIs" dxfId="56" priority="62" stopIfTrue="1" operator="notEqual">
      <formula>""</formula>
    </cfRule>
  </conditionalFormatting>
  <conditionalFormatting sqref="Z957">
    <cfRule type="cellIs" dxfId="55" priority="59" stopIfTrue="1" operator="notEqual">
      <formula>""</formula>
    </cfRule>
  </conditionalFormatting>
  <conditionalFormatting sqref="Z958:Z959">
    <cfRule type="cellIs" dxfId="54" priority="58" stopIfTrue="1" operator="notEqual">
      <formula>""</formula>
    </cfRule>
  </conditionalFormatting>
  <conditionalFormatting sqref="Z860">
    <cfRule type="cellIs" dxfId="53" priority="57" stopIfTrue="1" operator="notEqual">
      <formula>""</formula>
    </cfRule>
  </conditionalFormatting>
  <conditionalFormatting sqref="Z897">
    <cfRule type="cellIs" dxfId="52" priority="40" stopIfTrue="1" operator="notEqual">
      <formula>""</formula>
    </cfRule>
  </conditionalFormatting>
  <conditionalFormatting sqref="Z868">
    <cfRule type="cellIs" dxfId="51" priority="55" stopIfTrue="1" operator="notEqual">
      <formula>""</formula>
    </cfRule>
  </conditionalFormatting>
  <conditionalFormatting sqref="Z869:Z872">
    <cfRule type="cellIs" dxfId="50" priority="54" stopIfTrue="1" operator="notEqual">
      <formula>""</formula>
    </cfRule>
  </conditionalFormatting>
  <conditionalFormatting sqref="Z895">
    <cfRule type="cellIs" dxfId="49" priority="37" stopIfTrue="1" operator="notEqual">
      <formula>""</formula>
    </cfRule>
  </conditionalFormatting>
  <conditionalFormatting sqref="Z876">
    <cfRule type="cellIs" dxfId="48" priority="52" stopIfTrue="1" operator="notEqual">
      <formula>""</formula>
    </cfRule>
  </conditionalFormatting>
  <conditionalFormatting sqref="Z875">
    <cfRule type="cellIs" dxfId="47" priority="51" stopIfTrue="1" operator="notEqual">
      <formula>""</formula>
    </cfRule>
  </conditionalFormatting>
  <conditionalFormatting sqref="Z876:Z880 Z887 Z894 Z901:Z902 Z909 Z916 Z923 Z930 Z937">
    <cfRule type="cellIs" dxfId="46" priority="50" stopIfTrue="1" operator="notEqual">
      <formula>""</formula>
    </cfRule>
  </conditionalFormatting>
  <conditionalFormatting sqref="Z874">
    <cfRule type="cellIs" dxfId="45" priority="49" stopIfTrue="1" operator="notEqual">
      <formula>""</formula>
    </cfRule>
  </conditionalFormatting>
  <conditionalFormatting sqref="Z883">
    <cfRule type="cellIs" dxfId="44" priority="48" stopIfTrue="1" operator="notEqual">
      <formula>""</formula>
    </cfRule>
  </conditionalFormatting>
  <conditionalFormatting sqref="Z882">
    <cfRule type="cellIs" dxfId="43" priority="47" stopIfTrue="1" operator="notEqual">
      <formula>""</formula>
    </cfRule>
  </conditionalFormatting>
  <conditionalFormatting sqref="Z883:Z886">
    <cfRule type="cellIs" dxfId="42" priority="46" stopIfTrue="1" operator="notEqual">
      <formula>""</formula>
    </cfRule>
  </conditionalFormatting>
  <conditionalFormatting sqref="Z881">
    <cfRule type="cellIs" dxfId="41" priority="45" stopIfTrue="1" operator="notEqual">
      <formula>""</formula>
    </cfRule>
  </conditionalFormatting>
  <conditionalFormatting sqref="Z890">
    <cfRule type="cellIs" dxfId="40" priority="44" stopIfTrue="1" operator="notEqual">
      <formula>""</formula>
    </cfRule>
  </conditionalFormatting>
  <conditionalFormatting sqref="Z889">
    <cfRule type="cellIs" dxfId="39" priority="43" stopIfTrue="1" operator="notEqual">
      <formula>""</formula>
    </cfRule>
  </conditionalFormatting>
  <conditionalFormatting sqref="Z890:Z893">
    <cfRule type="cellIs" dxfId="38" priority="42" stopIfTrue="1" operator="notEqual">
      <formula>""</formula>
    </cfRule>
  </conditionalFormatting>
  <conditionalFormatting sqref="Z888">
    <cfRule type="cellIs" dxfId="37" priority="41" stopIfTrue="1" operator="notEqual">
      <formula>""</formula>
    </cfRule>
  </conditionalFormatting>
  <conditionalFormatting sqref="Z912">
    <cfRule type="cellIs" dxfId="36" priority="32" stopIfTrue="1" operator="notEqual">
      <formula>""</formula>
    </cfRule>
  </conditionalFormatting>
  <conditionalFormatting sqref="Z896">
    <cfRule type="cellIs" dxfId="35" priority="39" stopIfTrue="1" operator="notEqual">
      <formula>""</formula>
    </cfRule>
  </conditionalFormatting>
  <conditionalFormatting sqref="Z897:Z900">
    <cfRule type="cellIs" dxfId="34" priority="38" stopIfTrue="1" operator="notEqual">
      <formula>""</formula>
    </cfRule>
  </conditionalFormatting>
  <conditionalFormatting sqref="Z905">
    <cfRule type="cellIs" dxfId="33" priority="36" stopIfTrue="1" operator="notEqual">
      <formula>""</formula>
    </cfRule>
  </conditionalFormatting>
  <conditionalFormatting sqref="Z904">
    <cfRule type="cellIs" dxfId="32" priority="35" stopIfTrue="1" operator="notEqual">
      <formula>""</formula>
    </cfRule>
  </conditionalFormatting>
  <conditionalFormatting sqref="Z905:Z908">
    <cfRule type="cellIs" dxfId="31" priority="34" stopIfTrue="1" operator="notEqual">
      <formula>""</formula>
    </cfRule>
  </conditionalFormatting>
  <conditionalFormatting sqref="Z903">
    <cfRule type="cellIs" dxfId="30" priority="33" stopIfTrue="1" operator="notEqual">
      <formula>""</formula>
    </cfRule>
  </conditionalFormatting>
  <conditionalFormatting sqref="Z911">
    <cfRule type="cellIs" dxfId="29" priority="31" stopIfTrue="1" operator="notEqual">
      <formula>""</formula>
    </cfRule>
  </conditionalFormatting>
  <conditionalFormatting sqref="Z912:Z915">
    <cfRule type="cellIs" dxfId="28" priority="30" stopIfTrue="1" operator="notEqual">
      <formula>""</formula>
    </cfRule>
  </conditionalFormatting>
  <conditionalFormatting sqref="Z919">
    <cfRule type="cellIs" dxfId="27" priority="28" stopIfTrue="1" operator="notEqual">
      <formula>""</formula>
    </cfRule>
  </conditionalFormatting>
  <conditionalFormatting sqref="Z918">
    <cfRule type="cellIs" dxfId="26" priority="27" stopIfTrue="1" operator="notEqual">
      <formula>""</formula>
    </cfRule>
  </conditionalFormatting>
  <conditionalFormatting sqref="Z919:Z922">
    <cfRule type="cellIs" dxfId="25" priority="26" stopIfTrue="1" operator="notEqual">
      <formula>""</formula>
    </cfRule>
  </conditionalFormatting>
  <conditionalFormatting sqref="Z910">
    <cfRule type="cellIs" dxfId="24" priority="24" stopIfTrue="1" operator="notEqual">
      <formula>""</formula>
    </cfRule>
  </conditionalFormatting>
  <conditionalFormatting sqref="Z917">
    <cfRule type="cellIs" dxfId="23" priority="23" stopIfTrue="1" operator="notEqual">
      <formula>""</formula>
    </cfRule>
  </conditionalFormatting>
  <conditionalFormatting sqref="Z926">
    <cfRule type="cellIs" dxfId="22" priority="22" stopIfTrue="1" operator="notEqual">
      <formula>""</formula>
    </cfRule>
  </conditionalFormatting>
  <conditionalFormatting sqref="Z925">
    <cfRule type="cellIs" dxfId="21" priority="21" stopIfTrue="1" operator="notEqual">
      <formula>""</formula>
    </cfRule>
  </conditionalFormatting>
  <conditionalFormatting sqref="Z926:Z929">
    <cfRule type="cellIs" dxfId="20" priority="20" stopIfTrue="1" operator="notEqual">
      <formula>""</formula>
    </cfRule>
  </conditionalFormatting>
  <conditionalFormatting sqref="Z924">
    <cfRule type="cellIs" dxfId="19" priority="19" stopIfTrue="1" operator="notEqual">
      <formula>""</formula>
    </cfRule>
  </conditionalFormatting>
  <conditionalFormatting sqref="Z933">
    <cfRule type="cellIs" dxfId="18" priority="18" stopIfTrue="1" operator="notEqual">
      <formula>""</formula>
    </cfRule>
  </conditionalFormatting>
  <conditionalFormatting sqref="Z932">
    <cfRule type="cellIs" dxfId="17" priority="17" stopIfTrue="1" operator="notEqual">
      <formula>""</formula>
    </cfRule>
  </conditionalFormatting>
  <conditionalFormatting sqref="Z933:Z936">
    <cfRule type="cellIs" dxfId="16" priority="16" stopIfTrue="1" operator="notEqual">
      <formula>""</formula>
    </cfRule>
  </conditionalFormatting>
  <conditionalFormatting sqref="Z931">
    <cfRule type="cellIs" dxfId="15" priority="15" stopIfTrue="1" operator="notEqual">
      <formula>""</formula>
    </cfRule>
  </conditionalFormatting>
  <conditionalFormatting sqref="Z940">
    <cfRule type="cellIs" dxfId="14" priority="14" stopIfTrue="1" operator="notEqual">
      <formula>""</formula>
    </cfRule>
  </conditionalFormatting>
  <conditionalFormatting sqref="Z939">
    <cfRule type="cellIs" dxfId="13" priority="13" stopIfTrue="1" operator="notEqual">
      <formula>""</formula>
    </cfRule>
  </conditionalFormatting>
  <conditionalFormatting sqref="Z940:Z944">
    <cfRule type="cellIs" dxfId="12" priority="12" stopIfTrue="1" operator="notEqual">
      <formula>""</formula>
    </cfRule>
  </conditionalFormatting>
  <conditionalFormatting sqref="Z938">
    <cfRule type="cellIs" dxfId="11" priority="11" stopIfTrue="1" operator="notEqual">
      <formula>""</formula>
    </cfRule>
  </conditionalFormatting>
  <conditionalFormatting sqref="Z784">
    <cfRule type="cellIs" dxfId="10" priority="8" stopIfTrue="1" operator="notEqual">
      <formula>""</formula>
    </cfRule>
  </conditionalFormatting>
  <conditionalFormatting sqref="Z661">
    <cfRule type="cellIs" dxfId="9" priority="6" stopIfTrue="1" operator="notEqual">
      <formula>""</formula>
    </cfRule>
  </conditionalFormatting>
  <conditionalFormatting sqref="Z945">
    <cfRule type="cellIs" dxfId="8" priority="5" stopIfTrue="1" operator="notEqual">
      <formula>""</formula>
    </cfRule>
  </conditionalFormatting>
  <conditionalFormatting sqref="Z948">
    <cfRule type="cellIs" dxfId="7" priority="4" stopIfTrue="1" operator="notEqual">
      <formula>""</formula>
    </cfRule>
  </conditionalFormatting>
  <conditionalFormatting sqref="Z947">
    <cfRule type="cellIs" dxfId="6" priority="3" stopIfTrue="1" operator="notEqual">
      <formula>""</formula>
    </cfRule>
  </conditionalFormatting>
  <conditionalFormatting sqref="Z948:Z951">
    <cfRule type="cellIs" dxfId="5" priority="2" stopIfTrue="1" operator="notEqual">
      <formula>""</formula>
    </cfRule>
  </conditionalFormatting>
  <conditionalFormatting sqref="Z946">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topLeftCell="A24"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1361</v>
      </c>
    </row>
    <row r="2" spans="1:16" ht="14.1" hidden="1" customHeight="1" x14ac:dyDescent="0.5">
      <c r="A2" s="390" t="s">
        <v>2109</v>
      </c>
      <c r="C2" s="467"/>
      <c r="D2" s="467"/>
      <c r="E2" s="467"/>
      <c r="F2" s="467"/>
      <c r="H2" s="468"/>
      <c r="I2" s="468"/>
      <c r="J2" s="468"/>
      <c r="K2" s="468"/>
      <c r="M2" s="519"/>
      <c r="N2" s="519"/>
      <c r="O2" s="519"/>
      <c r="P2" s="519"/>
    </row>
    <row r="3" spans="1:16" ht="14.1" hidden="1" customHeight="1" x14ac:dyDescent="0.5">
      <c r="A3" s="390"/>
      <c r="B3" s="469"/>
      <c r="K3" s="182"/>
      <c r="P3" s="182"/>
    </row>
    <row r="4" spans="1:16" ht="14.1" hidden="1" customHeight="1" x14ac:dyDescent="0.5">
      <c r="A4" s="390"/>
      <c r="B4" s="469"/>
      <c r="D4" s="470" t="s">
        <v>2110</v>
      </c>
      <c r="E4" s="470" t="s">
        <v>2111</v>
      </c>
      <c r="F4" s="183"/>
      <c r="G4" s="184"/>
      <c r="K4" s="182"/>
      <c r="P4" s="182"/>
    </row>
    <row r="5" spans="1:16" ht="14.5" hidden="1" customHeight="1" thickBot="1" x14ac:dyDescent="0.55000000000000004">
      <c r="A5" s="471"/>
      <c r="B5" s="472"/>
      <c r="C5" s="448" t="s">
        <v>438</v>
      </c>
      <c r="D5" s="448" t="s">
        <v>2112</v>
      </c>
      <c r="E5" s="448" t="s">
        <v>2113</v>
      </c>
      <c r="F5" s="473" t="s">
        <v>181</v>
      </c>
      <c r="G5" s="448" t="s">
        <v>2114</v>
      </c>
      <c r="K5" s="182"/>
      <c r="P5" s="182"/>
    </row>
    <row r="6" spans="1:16" ht="14.1" hidden="1" customHeight="1" x14ac:dyDescent="0.5">
      <c r="A6" s="390"/>
      <c r="B6" s="469"/>
      <c r="K6" s="182"/>
      <c r="P6" s="182"/>
    </row>
    <row r="7" spans="1:16" ht="14.1" hidden="1" customHeight="1" x14ac:dyDescent="0.5">
      <c r="A7" s="38" t="s">
        <v>2115</v>
      </c>
      <c r="B7" s="469"/>
      <c r="C7" s="185">
        <f>'WSS-28'!G669</f>
        <v>632354479.49888062</v>
      </c>
      <c r="D7" s="185">
        <f>'WSS-28'!G684</f>
        <v>559351961.06544709</v>
      </c>
      <c r="E7" s="185">
        <f t="shared" ref="E7:E21" si="0">C7-D7</f>
        <v>73002518.433433533</v>
      </c>
      <c r="F7" s="185">
        <f>'WSS-28'!G688</f>
        <v>2446199408.7285142</v>
      </c>
      <c r="G7" s="186">
        <f t="shared" ref="G7:G22" si="1">E7/F7</f>
        <v>2.9843240977389815E-2</v>
      </c>
      <c r="K7" s="182"/>
      <c r="P7" s="182"/>
    </row>
    <row r="8" spans="1:16" ht="14.1" hidden="1" customHeight="1" x14ac:dyDescent="0.5">
      <c r="A8" s="38" t="s">
        <v>2186</v>
      </c>
      <c r="B8" s="469"/>
      <c r="C8" s="2">
        <f>'WSS-28'!I669</f>
        <v>229947997.57106671</v>
      </c>
      <c r="D8" s="2">
        <f>'WSS-28'!I684</f>
        <v>160440277.14381036</v>
      </c>
      <c r="E8" s="2">
        <f t="shared" si="0"/>
        <v>69507720.427256346</v>
      </c>
      <c r="F8" s="2">
        <f>'WSS-28'!I688</f>
        <v>610148565.20987535</v>
      </c>
      <c r="G8" s="186">
        <f t="shared" si="1"/>
        <v>0.11391933766712618</v>
      </c>
      <c r="K8" s="182"/>
      <c r="P8" s="182"/>
    </row>
    <row r="9" spans="1:16" ht="14.1" hidden="1" customHeight="1" x14ac:dyDescent="0.5">
      <c r="A9" s="38" t="s">
        <v>2119</v>
      </c>
      <c r="B9" s="469"/>
      <c r="C9" s="2">
        <f>'WSS-28'!J669</f>
        <v>12341104.149929067</v>
      </c>
      <c r="D9" s="2">
        <f>'WSS-28'!J684</f>
        <v>9927788.6146886703</v>
      </c>
      <c r="E9" s="2">
        <f t="shared" si="0"/>
        <v>2413315.5352403969</v>
      </c>
      <c r="F9" s="2">
        <f>'WSS-28'!J688</f>
        <v>38738639.515784226</v>
      </c>
      <c r="G9" s="186">
        <f t="shared" si="1"/>
        <v>6.2297374544015183E-2</v>
      </c>
      <c r="K9" s="182"/>
      <c r="P9" s="182"/>
    </row>
    <row r="10" spans="1:16" ht="14.1" hidden="1" customHeight="1" x14ac:dyDescent="0.5">
      <c r="A10" s="38" t="s">
        <v>2117</v>
      </c>
      <c r="C10" s="2">
        <f>'WSS-28'!K669</f>
        <v>174078593.35727775</v>
      </c>
      <c r="D10" s="2">
        <f>'WSS-28'!K684</f>
        <v>126507563.50226063</v>
      </c>
      <c r="E10" s="2">
        <f t="shared" si="0"/>
        <v>47571029.855017126</v>
      </c>
      <c r="F10" s="2">
        <f>'WSS-28'!K688</f>
        <v>458864450.23790866</v>
      </c>
      <c r="G10" s="186">
        <f t="shared" si="1"/>
        <v>0.10367120362092301</v>
      </c>
    </row>
    <row r="11" spans="1:16" ht="14.1" hidden="1" customHeight="1" x14ac:dyDescent="0.5">
      <c r="A11" s="38" t="s">
        <v>2116</v>
      </c>
      <c r="C11" s="2">
        <f>'WSS-28'!L669</f>
        <v>9618570.9471681006</v>
      </c>
      <c r="D11" s="2">
        <f>'WSS-28'!L684</f>
        <v>5972179.0755347069</v>
      </c>
      <c r="E11" s="2">
        <f t="shared" si="0"/>
        <v>3646391.8716333937</v>
      </c>
      <c r="F11" s="2">
        <f>'WSS-28'!L688</f>
        <v>19887373.090099089</v>
      </c>
      <c r="G11" s="186">
        <f t="shared" si="1"/>
        <v>0.18335211267539134</v>
      </c>
    </row>
    <row r="12" spans="1:16" ht="14.1" hidden="1" customHeight="1" x14ac:dyDescent="0.5">
      <c r="A12" s="38" t="s">
        <v>2126</v>
      </c>
      <c r="C12" s="2">
        <f>'WSS-28'!M669</f>
        <v>137918383.42054722</v>
      </c>
      <c r="D12" s="2">
        <f>'WSS-28'!M684</f>
        <v>119275701.30930579</v>
      </c>
      <c r="E12" s="2">
        <f t="shared" si="0"/>
        <v>18642682.11124143</v>
      </c>
      <c r="F12" s="2">
        <f>'WSS-28'!M688</f>
        <v>424829680.24150598</v>
      </c>
      <c r="G12" s="186">
        <f t="shared" si="1"/>
        <v>4.3882720483755959E-2</v>
      </c>
    </row>
    <row r="13" spans="1:16" ht="14.1" hidden="1" customHeight="1" x14ac:dyDescent="0.5">
      <c r="A13" s="38" t="s">
        <v>2125</v>
      </c>
      <c r="B13" s="469"/>
      <c r="C13" s="2">
        <f>'WSS-28'!N669</f>
        <v>255960630.21993825</v>
      </c>
      <c r="D13" s="2">
        <f>'WSS-28'!N684</f>
        <v>229878385.3482466</v>
      </c>
      <c r="E13" s="2">
        <f t="shared" si="0"/>
        <v>26082244.871691644</v>
      </c>
      <c r="F13" s="2">
        <f>'WSS-28'!N688</f>
        <v>740452252.7798897</v>
      </c>
      <c r="G13" s="186">
        <f t="shared" si="1"/>
        <v>3.5224749163461556E-2</v>
      </c>
    </row>
    <row r="14" spans="1:16" ht="14.1" hidden="1" customHeight="1" x14ac:dyDescent="0.5">
      <c r="A14" s="38" t="s">
        <v>2120</v>
      </c>
      <c r="B14" s="469"/>
      <c r="C14" s="2">
        <f>'WSS-28'!O669</f>
        <v>81116100.933095604</v>
      </c>
      <c r="D14" s="2">
        <f>'WSS-28'!O684</f>
        <v>75434190.139851809</v>
      </c>
      <c r="E14" s="2">
        <f t="shared" si="0"/>
        <v>5681910.7932437956</v>
      </c>
      <c r="F14" s="2">
        <f>'WSS-28'!O688</f>
        <v>225535968.00398141</v>
      </c>
      <c r="G14" s="186">
        <f t="shared" si="1"/>
        <v>2.5192925294928975E-2</v>
      </c>
    </row>
    <row r="15" spans="1:16" ht="14.1" hidden="1" customHeight="1" x14ac:dyDescent="0.5">
      <c r="A15" s="38" t="s">
        <v>2121</v>
      </c>
      <c r="B15" s="469"/>
      <c r="C15" s="2">
        <f>'WSS-28'!P669</f>
        <v>20036277.988449719</v>
      </c>
      <c r="D15" s="2">
        <f>'WSS-28'!P684</f>
        <v>30921073.207255542</v>
      </c>
      <c r="E15" s="2">
        <f t="shared" si="0"/>
        <v>-10884795.218805823</v>
      </c>
      <c r="F15" s="2">
        <f>'WSS-28'!P688</f>
        <v>104333029.76968977</v>
      </c>
      <c r="G15" s="186">
        <f t="shared" si="1"/>
        <v>-0.10432741426980022</v>
      </c>
    </row>
    <row r="16" spans="1:16" ht="14.1" hidden="1" customHeight="1" x14ac:dyDescent="0.5">
      <c r="A16" s="38" t="s">
        <v>2469</v>
      </c>
      <c r="B16" s="469"/>
      <c r="C16" s="2">
        <f>'WSS-28'!Q669</f>
        <v>30869021.862646241</v>
      </c>
      <c r="D16" s="2">
        <f>'WSS-28'!Q684</f>
        <v>16898685.067747034</v>
      </c>
      <c r="E16" s="2">
        <f t="shared" si="0"/>
        <v>13970336.794899207</v>
      </c>
      <c r="F16" s="2">
        <f>'WSS-28'!Q688</f>
        <v>113340011.04474315</v>
      </c>
      <c r="G16" s="186">
        <f t="shared" si="1"/>
        <v>0.12326041497723295</v>
      </c>
    </row>
    <row r="17" spans="1:16" ht="14.1" hidden="1" customHeight="1" x14ac:dyDescent="0.5">
      <c r="A17" s="38" t="s">
        <v>2122</v>
      </c>
      <c r="B17" s="469"/>
      <c r="C17" s="2">
        <f>'WSS-28'!R669</f>
        <v>316348.41382896813</v>
      </c>
      <c r="D17" s="2">
        <f>'WSS-28'!R684</f>
        <v>204375.50850190493</v>
      </c>
      <c r="E17" s="2">
        <f t="shared" si="0"/>
        <v>111972.9053270632</v>
      </c>
      <c r="F17" s="2">
        <f>'WSS-28'!R688</f>
        <v>398642.54509885528</v>
      </c>
      <c r="G17" s="186">
        <f t="shared" si="1"/>
        <v>0.28088548676934666</v>
      </c>
    </row>
    <row r="18" spans="1:16" ht="14.1" hidden="1" customHeight="1" x14ac:dyDescent="0.5">
      <c r="A18" s="38" t="s">
        <v>2347</v>
      </c>
      <c r="C18" s="2">
        <f>'WSS-28'!S669</f>
        <v>274795.72459276643</v>
      </c>
      <c r="D18" s="2">
        <f>'WSS-28'!S684</f>
        <v>196764.78543814423</v>
      </c>
      <c r="E18" s="2">
        <f t="shared" si="0"/>
        <v>78030.939154622203</v>
      </c>
      <c r="F18" s="2">
        <f>'WSS-28'!S688</f>
        <v>615301.08940570417</v>
      </c>
      <c r="G18" s="186">
        <f t="shared" si="1"/>
        <v>0.12681748902799653</v>
      </c>
    </row>
    <row r="19" spans="1:16" ht="14.1" hidden="1" customHeight="1" x14ac:dyDescent="0.5">
      <c r="A19" s="38" t="s">
        <v>2350</v>
      </c>
      <c r="C19" s="2">
        <f>'WSS-28'!T669</f>
        <v>95108.064860777158</v>
      </c>
      <c r="D19" s="2">
        <f>'WSS-28'!T684</f>
        <v>41914.066120693926</v>
      </c>
      <c r="E19" s="2">
        <f t="shared" si="0"/>
        <v>53193.998740083232</v>
      </c>
      <c r="F19" s="2">
        <f>'WSS-28'!T688</f>
        <v>174628.96328485516</v>
      </c>
      <c r="G19" s="186">
        <f t="shared" si="1"/>
        <v>0.30461154747459079</v>
      </c>
    </row>
    <row r="20" spans="1:16" ht="14.1" hidden="1" customHeight="1" x14ac:dyDescent="0.5">
      <c r="A20" s="38" t="s">
        <v>2348</v>
      </c>
      <c r="C20" s="2">
        <f>'WSS-28'!U669</f>
        <v>6746.4824681938508</v>
      </c>
      <c r="D20" s="2">
        <f>'WSS-28'!U684</f>
        <v>35244.54210091164</v>
      </c>
      <c r="E20" s="2">
        <f t="shared" si="0"/>
        <v>-28498.059632717788</v>
      </c>
      <c r="F20" s="2">
        <f>'WSS-28'!U688</f>
        <v>105538.39738445418</v>
      </c>
      <c r="G20" s="186">
        <f t="shared" si="1"/>
        <v>-0.27002551051543217</v>
      </c>
    </row>
    <row r="21" spans="1:16" ht="14.1" hidden="1" customHeight="1" x14ac:dyDescent="0.5">
      <c r="A21" s="188" t="s">
        <v>2349</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1585096662.6347501</v>
      </c>
      <c r="D22" s="2">
        <f>SUM(D7:D15)</f>
        <v>1317709119.4064012</v>
      </c>
      <c r="E22" s="2">
        <f>SUM(E7:E15)</f>
        <v>235663018.67995185</v>
      </c>
      <c r="F22" s="2">
        <f>SUM(F7:F15)</f>
        <v>5068989367.5772486</v>
      </c>
      <c r="G22" s="186">
        <f t="shared" si="1"/>
        <v>4.6491125072647035E-2</v>
      </c>
    </row>
    <row r="23" spans="1:16" ht="14.1" hidden="1" customHeight="1" x14ac:dyDescent="0.5">
      <c r="B23" s="469"/>
      <c r="E23" s="185"/>
      <c r="F23" s="2"/>
      <c r="G23" s="186"/>
    </row>
    <row r="24" spans="1:16" ht="14.4" thickBot="1" x14ac:dyDescent="0.55000000000000004">
      <c r="B24" s="469"/>
    </row>
    <row r="25" spans="1:16" ht="17.7" thickBot="1" x14ac:dyDescent="0.6">
      <c r="A25" s="520" t="s">
        <v>1361</v>
      </c>
      <c r="B25" s="521"/>
      <c r="C25" s="521"/>
      <c r="D25" s="521"/>
      <c r="E25" s="521"/>
      <c r="F25" s="521"/>
      <c r="G25" s="521"/>
      <c r="H25" s="521"/>
      <c r="I25" s="522"/>
      <c r="M25" s="390"/>
    </row>
    <row r="26" spans="1:16" x14ac:dyDescent="0.5">
      <c r="G26" s="169" t="s">
        <v>2484</v>
      </c>
      <c r="H26"/>
      <c r="I26" s="169" t="s">
        <v>2487</v>
      </c>
      <c r="J26" s="449"/>
    </row>
    <row r="27" spans="1:16" x14ac:dyDescent="0.5">
      <c r="A27" s="390"/>
      <c r="B27" s="469"/>
      <c r="D27" s="470" t="s">
        <v>2110</v>
      </c>
      <c r="E27" s="470" t="s">
        <v>2111</v>
      </c>
      <c r="F27" s="183"/>
      <c r="G27" s="169" t="s">
        <v>421</v>
      </c>
      <c r="H27" s="470" t="s">
        <v>2487</v>
      </c>
      <c r="I27" s="169" t="s">
        <v>421</v>
      </c>
      <c r="J27" s="470"/>
      <c r="K27" s="182"/>
      <c r="P27" s="182"/>
    </row>
    <row r="28" spans="1:16" ht="14.4" thickBot="1" x14ac:dyDescent="0.55000000000000004">
      <c r="A28" s="471"/>
      <c r="B28" s="472"/>
      <c r="C28" s="448" t="s">
        <v>438</v>
      </c>
      <c r="D28" s="448" t="s">
        <v>2112</v>
      </c>
      <c r="E28" s="448" t="s">
        <v>2113</v>
      </c>
      <c r="F28" s="473" t="s">
        <v>181</v>
      </c>
      <c r="G28" s="448" t="s">
        <v>2485</v>
      </c>
      <c r="H28" s="448" t="s">
        <v>2488</v>
      </c>
      <c r="I28" s="448" t="s">
        <v>2485</v>
      </c>
      <c r="J28" s="448"/>
      <c r="K28" s="182"/>
      <c r="P28" s="182"/>
    </row>
    <row r="29" spans="1:16" x14ac:dyDescent="0.5">
      <c r="A29" s="390"/>
      <c r="B29" s="469"/>
      <c r="K29" s="182"/>
      <c r="P29" s="182"/>
    </row>
    <row r="30" spans="1:16" x14ac:dyDescent="0.5">
      <c r="A30" s="38" t="s">
        <v>2115</v>
      </c>
      <c r="B30" s="469"/>
      <c r="C30" s="185">
        <f>'WSS-28'!G725</f>
        <v>632354479.49888062</v>
      </c>
      <c r="D30" s="185">
        <f>'WSS-28'!G748</f>
        <v>566991450.97809434</v>
      </c>
      <c r="E30" s="185">
        <f t="shared" ref="E30:E46" si="2">C30-D30</f>
        <v>65363028.520786285</v>
      </c>
      <c r="F30" s="185">
        <f>'WSS-28'!G756</f>
        <v>2446199408.7285142</v>
      </c>
      <c r="G30" s="186">
        <f t="shared" ref="G30:G47" si="3">E30/F30</f>
        <v>2.6720237233137378E-2</v>
      </c>
      <c r="H30" s="186">
        <f>'WSS-28'!G781/622450115</f>
        <v>0.10939669424092474</v>
      </c>
      <c r="I30" s="186">
        <f>G56</f>
        <v>4.7514067321127423E-2</v>
      </c>
      <c r="J30" s="186"/>
      <c r="K30" s="182"/>
      <c r="M30" s="466"/>
      <c r="P30" s="182"/>
    </row>
    <row r="31" spans="1:16" x14ac:dyDescent="0.5">
      <c r="A31" s="38" t="s">
        <v>2573</v>
      </c>
      <c r="B31" s="469"/>
      <c r="C31" s="2">
        <f>'WSS-28'!H725</f>
        <v>1051220.687364765</v>
      </c>
      <c r="D31" s="2">
        <f>'WSS-28'!H748</f>
        <v>912718.7440429033</v>
      </c>
      <c r="E31" s="2">
        <f t="shared" si="2"/>
        <v>138501.94332186168</v>
      </c>
      <c r="F31" s="2">
        <f>'WSS-28'!H756</f>
        <v>11340629.922834281</v>
      </c>
      <c r="G31" s="186">
        <f t="shared" si="3"/>
        <v>1.2212896837678211E-2</v>
      </c>
      <c r="H31" s="186"/>
      <c r="I31" s="186"/>
      <c r="J31" s="186"/>
      <c r="K31" s="182"/>
      <c r="M31" s="466"/>
      <c r="P31" s="182"/>
    </row>
    <row r="32" spans="1:16" x14ac:dyDescent="0.5">
      <c r="A32" s="38" t="s">
        <v>2186</v>
      </c>
      <c r="B32" s="469"/>
      <c r="C32" s="2">
        <f>'WSS-28'!I725</f>
        <v>229947997.57106671</v>
      </c>
      <c r="D32" s="2">
        <f>'WSS-28'!I748</f>
        <v>162500024.14847672</v>
      </c>
      <c r="E32" s="2">
        <f t="shared" si="2"/>
        <v>67447973.422589988</v>
      </c>
      <c r="F32" s="2">
        <f>'WSS-28'!I756</f>
        <v>610148565.20987535</v>
      </c>
      <c r="G32" s="186">
        <f t="shared" si="3"/>
        <v>0.11054352541071637</v>
      </c>
      <c r="H32" s="186">
        <f>'WSS-28'!I781/236178596</f>
        <v>0.11319799275968259</v>
      </c>
      <c r="I32" s="186">
        <f>G58</f>
        <v>0.14334494540120749</v>
      </c>
      <c r="J32" s="186"/>
      <c r="K32" s="186"/>
      <c r="M32" s="414"/>
      <c r="N32" s="278"/>
      <c r="P32" s="182"/>
    </row>
    <row r="33" spans="1:16" x14ac:dyDescent="0.5">
      <c r="A33" s="38" t="s">
        <v>2119</v>
      </c>
      <c r="B33" s="469"/>
      <c r="C33" s="2">
        <f>'WSS-28'!J725</f>
        <v>12341104.149929067</v>
      </c>
      <c r="D33" s="2">
        <f>'WSS-28'!J748</f>
        <v>10059956.953533892</v>
      </c>
      <c r="E33" s="2">
        <f t="shared" si="2"/>
        <v>2281147.1963951755</v>
      </c>
      <c r="F33" s="2">
        <f>'WSS-28'!J756</f>
        <v>38738639.515784226</v>
      </c>
      <c r="G33" s="186">
        <f t="shared" si="3"/>
        <v>5.8885578453670588E-2</v>
      </c>
      <c r="H33" s="186">
        <f>'WSS-28'!J781/12903301</f>
        <v>0.11267116840876609</v>
      </c>
      <c r="I33" s="186">
        <f>G59</f>
        <v>8.7250049795637163E-2</v>
      </c>
      <c r="J33" s="186"/>
      <c r="K33" s="186"/>
      <c r="M33" s="414"/>
      <c r="N33" s="278"/>
      <c r="P33" s="182"/>
    </row>
    <row r="34" spans="1:16" x14ac:dyDescent="0.5">
      <c r="A34" s="38" t="s">
        <v>2345</v>
      </c>
      <c r="B34" s="469"/>
      <c r="C34" s="2">
        <f>'WSS-28'!K725</f>
        <v>174078593.35727775</v>
      </c>
      <c r="D34" s="2">
        <f>'WSS-28'!K748</f>
        <v>128428360.03236797</v>
      </c>
      <c r="E34" s="2">
        <f t="shared" si="2"/>
        <v>45650233.324909776</v>
      </c>
      <c r="F34" s="2">
        <f>'WSS-28'!K756</f>
        <v>458864450.23790866</v>
      </c>
      <c r="G34" s="186">
        <f t="shared" si="3"/>
        <v>9.948522554153276E-2</v>
      </c>
      <c r="H34" s="186"/>
      <c r="I34" s="186"/>
      <c r="J34" s="186"/>
      <c r="K34" s="186"/>
      <c r="M34" s="414"/>
      <c r="N34" s="278"/>
      <c r="P34" s="182"/>
    </row>
    <row r="35" spans="1:16" x14ac:dyDescent="0.5">
      <c r="A35" s="38" t="s">
        <v>2344</v>
      </c>
      <c r="C35" s="2">
        <f>'WSS-28'!L725</f>
        <v>9618570.9471681006</v>
      </c>
      <c r="D35" s="2">
        <f>'WSS-28'!L748</f>
        <v>6055628.4296530178</v>
      </c>
      <c r="E35" s="2">
        <f t="shared" si="2"/>
        <v>3562942.5175150828</v>
      </c>
      <c r="F35" s="2">
        <f>'WSS-28'!L756</f>
        <v>19887373.090099089</v>
      </c>
      <c r="G35" s="186">
        <f t="shared" si="3"/>
        <v>0.17915601529539821</v>
      </c>
      <c r="H35" s="186">
        <f>'WSS-28'!K781/170824745</f>
        <v>0.10860858595164301</v>
      </c>
      <c r="I35" s="186">
        <f>G60</f>
        <v>0.12997724367334346</v>
      </c>
      <c r="J35" s="186"/>
      <c r="K35" s="186"/>
      <c r="M35" s="414"/>
      <c r="N35" s="278"/>
    </row>
    <row r="36" spans="1:16" x14ac:dyDescent="0.5">
      <c r="A36" s="38" t="s">
        <v>2126</v>
      </c>
      <c r="C36" s="2">
        <f>'WSS-28'!M725</f>
        <v>137918383.42054722</v>
      </c>
      <c r="D36" s="2">
        <f>'WSS-28'!M748</f>
        <v>121122982.21471789</v>
      </c>
      <c r="E36" s="2">
        <f t="shared" si="2"/>
        <v>16795401.205829322</v>
      </c>
      <c r="F36" s="2">
        <f>'WSS-28'!M756</f>
        <v>424829680.24150598</v>
      </c>
      <c r="G36" s="186">
        <f t="shared" si="3"/>
        <v>3.9534434591014266E-2</v>
      </c>
      <c r="H36" s="186">
        <f>'WSS-28'!M781/137177942</f>
        <v>0.10592772998446062</v>
      </c>
      <c r="I36" s="186">
        <f t="shared" ref="I36:I44" si="4">G62</f>
        <v>6.5127340248222948E-2</v>
      </c>
      <c r="J36" s="186"/>
      <c r="K36" s="186"/>
      <c r="M36" s="414"/>
      <c r="N36" s="278"/>
    </row>
    <row r="37" spans="1:16" x14ac:dyDescent="0.5">
      <c r="A37" s="38" t="s">
        <v>2125</v>
      </c>
      <c r="B37" s="469"/>
      <c r="C37" s="2">
        <f>'WSS-28'!N725</f>
        <v>255960630.21993825</v>
      </c>
      <c r="D37" s="2">
        <f>'WSS-28'!N748</f>
        <v>232227581.42051542</v>
      </c>
      <c r="E37" s="2">
        <f t="shared" si="2"/>
        <v>23733048.79942283</v>
      </c>
      <c r="F37" s="2">
        <f>'WSS-28'!N756</f>
        <v>740452252.7798897</v>
      </c>
      <c r="G37" s="186">
        <f t="shared" si="3"/>
        <v>3.2052098849482236E-2</v>
      </c>
      <c r="H37" s="186">
        <f>'WSS-28'!N781/260450406</f>
        <v>0.10344419658919633</v>
      </c>
      <c r="I37" s="186">
        <f t="shared" si="4"/>
        <v>5.9227707124255222E-2</v>
      </c>
      <c r="J37" s="186"/>
      <c r="K37" s="186"/>
    </row>
    <row r="38" spans="1:16" x14ac:dyDescent="0.5">
      <c r="A38" s="38" t="s">
        <v>2120</v>
      </c>
      <c r="B38" s="469"/>
      <c r="C38" s="2">
        <f>'WSS-28'!O725</f>
        <v>81116100.933095604</v>
      </c>
      <c r="D38" s="2">
        <f>'WSS-28'!O748</f>
        <v>73148848.629479021</v>
      </c>
      <c r="E38" s="2">
        <f t="shared" si="2"/>
        <v>7967252.3036165833</v>
      </c>
      <c r="F38" s="2">
        <f>'WSS-28'!O756</f>
        <v>225535968.00398141</v>
      </c>
      <c r="G38" s="186">
        <f t="shared" si="3"/>
        <v>3.532586121019924E-2</v>
      </c>
      <c r="H38" s="186">
        <f>'WSS-28'!O781/87356288</f>
        <v>0.10058967936000211</v>
      </c>
      <c r="I38" s="186">
        <f t="shared" si="4"/>
        <v>6.4415896157423144E-2</v>
      </c>
      <c r="J38" s="186"/>
      <c r="K38" s="186"/>
    </row>
    <row r="39" spans="1:16" x14ac:dyDescent="0.5">
      <c r="A39" s="38" t="s">
        <v>2121</v>
      </c>
      <c r="B39" s="469"/>
      <c r="C39" s="2">
        <f>'WSS-28'!P725</f>
        <v>20036277.988449719</v>
      </c>
      <c r="D39" s="2">
        <f>'WSS-28'!P748</f>
        <v>17161410.277935997</v>
      </c>
      <c r="E39" s="2">
        <f t="shared" si="2"/>
        <v>2874867.7105137222</v>
      </c>
      <c r="F39" s="2">
        <f>'WSS-28'!P756</f>
        <v>104333029.76968977</v>
      </c>
      <c r="G39" s="186">
        <f t="shared" si="3"/>
        <v>2.755472276478366E-2</v>
      </c>
      <c r="H39" s="186">
        <f>'WSS-28'!P781/33930761</f>
        <v>0.10356732052075107</v>
      </c>
      <c r="I39" s="186">
        <f t="shared" si="4"/>
        <v>5.2700803924607353E-2</v>
      </c>
      <c r="J39" s="186"/>
      <c r="K39" s="186"/>
    </row>
    <row r="40" spans="1:16" x14ac:dyDescent="0.5">
      <c r="A40" s="38" t="s">
        <v>2469</v>
      </c>
      <c r="B40" s="469"/>
      <c r="C40" s="2">
        <f>'WSS-28'!Q725</f>
        <v>30869021.862646241</v>
      </c>
      <c r="D40" s="2">
        <f>'WSS-28'!Q748</f>
        <v>16901656.200161275</v>
      </c>
      <c r="E40" s="2">
        <f t="shared" si="2"/>
        <v>13967365.662484966</v>
      </c>
      <c r="F40" s="2">
        <f>'WSS-28'!Q756</f>
        <v>113340011.04474315</v>
      </c>
      <c r="G40" s="186">
        <f t="shared" si="3"/>
        <v>0.12323420064756373</v>
      </c>
      <c r="H40" s="186">
        <f>'WSS-28'!Q781/31621501</f>
        <v>-4.0795027408724209E-6</v>
      </c>
      <c r="I40" s="186">
        <f t="shared" si="4"/>
        <v>0.12324573413286395</v>
      </c>
      <c r="J40" s="186"/>
      <c r="K40" s="186"/>
    </row>
    <row r="41" spans="1:16" x14ac:dyDescent="0.5">
      <c r="A41" s="38" t="s">
        <v>2122</v>
      </c>
      <c r="B41" s="469"/>
      <c r="C41" s="2">
        <f>'WSS-28'!R725</f>
        <v>316348.41382896813</v>
      </c>
      <c r="D41" s="2">
        <f>'WSS-28'!R748</f>
        <v>204483.60744465588</v>
      </c>
      <c r="E41" s="2">
        <f t="shared" si="2"/>
        <v>111864.80638431225</v>
      </c>
      <c r="F41" s="2">
        <f>'WSS-28'!R756</f>
        <v>398642.54509885528</v>
      </c>
      <c r="G41" s="186">
        <f t="shared" si="3"/>
        <v>0.28061431916799556</v>
      </c>
      <c r="H41" s="186">
        <f>'WSS-28'!R781/104798</f>
        <v>1.7175900303440905E-4</v>
      </c>
      <c r="I41" s="186">
        <f t="shared" si="4"/>
        <v>0.28064802921903065</v>
      </c>
      <c r="J41" s="186"/>
      <c r="K41" s="186"/>
    </row>
    <row r="42" spans="1:16" x14ac:dyDescent="0.5">
      <c r="A42" s="38" t="s">
        <v>2347</v>
      </c>
      <c r="B42" s="469"/>
      <c r="C42" s="2">
        <f>'WSS-28'!S725</f>
        <v>274795.72459276643</v>
      </c>
      <c r="D42" s="2">
        <f>'WSS-28'!S748</f>
        <v>198532.44968251768</v>
      </c>
      <c r="E42" s="2">
        <f t="shared" si="2"/>
        <v>76263.274910248758</v>
      </c>
      <c r="F42" s="2">
        <f>'WSS-28'!S756</f>
        <v>615301.08940570417</v>
      </c>
      <c r="G42" s="186">
        <f t="shared" si="3"/>
        <v>0.12394464470054578</v>
      </c>
      <c r="H42" s="186">
        <f>'WSS-28'!S781/184346</f>
        <v>1.084916407190826E-5</v>
      </c>
      <c r="I42" s="186">
        <f t="shared" si="4"/>
        <v>0.12394707138251616</v>
      </c>
      <c r="J42" s="186"/>
    </row>
    <row r="43" spans="1:16" x14ac:dyDescent="0.5">
      <c r="A43" s="38" t="s">
        <v>2350</v>
      </c>
      <c r="B43" s="469"/>
      <c r="C43" s="2">
        <f>'WSS-28'!T725</f>
        <v>95108.064860777158</v>
      </c>
      <c r="D43" s="2">
        <f>'WSS-28'!T748</f>
        <v>42141.594768096416</v>
      </c>
      <c r="E43" s="2">
        <f t="shared" si="2"/>
        <v>52966.470092680742</v>
      </c>
      <c r="F43" s="2">
        <f>'WSS-28'!T756</f>
        <v>174628.96328485516</v>
      </c>
      <c r="G43" s="186">
        <f t="shared" si="3"/>
        <v>0.30330862129829927</v>
      </c>
      <c r="H43" s="186">
        <f>'WSS-28'!T781/59261</f>
        <v>-8.0356389531057532E-2</v>
      </c>
      <c r="I43" s="186">
        <f t="shared" si="4"/>
        <v>0.28295022017178734</v>
      </c>
      <c r="J43" s="186"/>
    </row>
    <row r="44" spans="1:16" x14ac:dyDescent="0.5">
      <c r="A44" s="38" t="s">
        <v>2348</v>
      </c>
      <c r="B44" s="469"/>
      <c r="C44" s="2">
        <f>'WSS-28'!U725</f>
        <v>6746.4824681938508</v>
      </c>
      <c r="D44" s="2">
        <f>'WSS-28'!U748</f>
        <v>35244.54210091164</v>
      </c>
      <c r="E44" s="2">
        <f t="shared" si="2"/>
        <v>-28498.059632717788</v>
      </c>
      <c r="F44" s="2">
        <f>'WSS-28'!U756</f>
        <v>105538.39738445418</v>
      </c>
      <c r="G44" s="186">
        <f t="shared" si="3"/>
        <v>-0.27002551051543217</v>
      </c>
      <c r="H44" s="186">
        <f>'WSS-28'!U781/2925</f>
        <v>0</v>
      </c>
      <c r="I44" s="186">
        <f t="shared" si="4"/>
        <v>7.2574128247581554E-2</v>
      </c>
      <c r="J44" s="186"/>
    </row>
    <row r="45" spans="1:16" x14ac:dyDescent="0.5">
      <c r="A45" s="413" t="s">
        <v>2349</v>
      </c>
      <c r="B45" s="509"/>
      <c r="C45" s="5">
        <f>'WSS-28'!V725</f>
        <v>162504.0000000002</v>
      </c>
      <c r="D45" s="5">
        <f>'WSS-28'!V748</f>
        <v>196302.7753636514</v>
      </c>
      <c r="E45" s="5">
        <f t="shared" ref="E45" si="5">C45-D45</f>
        <v>-33798.775363651192</v>
      </c>
      <c r="F45" s="5">
        <f>'WSS-28'!V756</f>
        <v>2576969.3631635425</v>
      </c>
      <c r="G45" s="187">
        <f t="shared" ref="G45" si="6">E45/F45</f>
        <v>-1.3115707096400671E-2</v>
      </c>
      <c r="H45" s="187">
        <f>'WSS-28'!V780/53220</f>
        <v>3.0534385569334876</v>
      </c>
      <c r="I45" s="187">
        <f t="shared" ref="I45" si="7">G70</f>
        <v>7.2574128247581554E-2</v>
      </c>
      <c r="J45" s="187"/>
      <c r="K45" s="186"/>
    </row>
    <row r="46" spans="1:16" x14ac:dyDescent="0.5">
      <c r="A46" s="188" t="s">
        <v>2553</v>
      </c>
      <c r="B46" s="474"/>
      <c r="C46" s="189">
        <f>'WSS-28'!W725</f>
        <v>38355.120000000003</v>
      </c>
      <c r="D46" s="189">
        <f>'WSS-28'!W748</f>
        <v>24384.708324035404</v>
      </c>
      <c r="E46" s="189">
        <f t="shared" si="2"/>
        <v>13970.411675964599</v>
      </c>
      <c r="F46" s="189">
        <f>'WSS-28'!W756</f>
        <v>290934.43683645804</v>
      </c>
      <c r="G46" s="190">
        <f t="shared" si="3"/>
        <v>4.801910639343715E-2</v>
      </c>
      <c r="H46" s="190">
        <f>'WSS-28'!V781/53220</f>
        <v>0</v>
      </c>
      <c r="I46" s="190">
        <f t="shared" ref="I46:I47" si="8">G72</f>
        <v>7.2598599663856622E-2</v>
      </c>
      <c r="J46" s="278"/>
      <c r="K46" s="186"/>
    </row>
    <row r="47" spans="1:16" x14ac:dyDescent="0.5">
      <c r="A47" s="38" t="s">
        <v>2489</v>
      </c>
      <c r="C47" s="2">
        <f>SUM(C30:C46)</f>
        <v>1586186238.4421148</v>
      </c>
      <c r="D47" s="2">
        <f>SUM(D30:D46)</f>
        <v>1336211707.7066619</v>
      </c>
      <c r="E47" s="2">
        <f>SUM(E30:E46)</f>
        <v>249974530.73545244</v>
      </c>
      <c r="F47" s="2">
        <f>SUM(F30:F46)</f>
        <v>5197832023.3400011</v>
      </c>
      <c r="G47" s="186">
        <f t="shared" si="3"/>
        <v>4.8092075621717544E-2</v>
      </c>
      <c r="H47" s="186">
        <f>'WSS-28'!F781/1588648074</f>
        <v>0.10685008327401277</v>
      </c>
      <c r="I47" s="186">
        <f t="shared" si="8"/>
        <v>7.2577356599132836E-2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1361</v>
      </c>
    </row>
    <row r="52" spans="1:16" x14ac:dyDescent="0.5">
      <c r="A52" s="390" t="s">
        <v>2118</v>
      </c>
    </row>
    <row r="53" spans="1:16" x14ac:dyDescent="0.5">
      <c r="A53" s="390"/>
      <c r="B53" s="469"/>
      <c r="D53" s="470" t="s">
        <v>2110</v>
      </c>
      <c r="E53" s="470" t="s">
        <v>2111</v>
      </c>
      <c r="F53" s="183"/>
      <c r="G53" s="184"/>
      <c r="K53" s="182"/>
      <c r="P53" s="182"/>
    </row>
    <row r="54" spans="1:16" ht="14.4" thickBot="1" x14ac:dyDescent="0.55000000000000004">
      <c r="A54" s="471"/>
      <c r="B54" s="472"/>
      <c r="C54" s="448" t="s">
        <v>438</v>
      </c>
      <c r="D54" s="448" t="s">
        <v>2112</v>
      </c>
      <c r="E54" s="448" t="s">
        <v>2113</v>
      </c>
      <c r="F54" s="473" t="s">
        <v>181</v>
      </c>
      <c r="G54" s="448" t="s">
        <v>2114</v>
      </c>
      <c r="K54" s="182"/>
      <c r="P54" s="182"/>
    </row>
    <row r="55" spans="1:16" x14ac:dyDescent="0.5">
      <c r="A55" s="390"/>
      <c r="B55" s="469"/>
      <c r="K55" s="182"/>
      <c r="P55" s="182"/>
    </row>
    <row r="56" spans="1:16" x14ac:dyDescent="0.5">
      <c r="A56" s="413" t="str">
        <f>A30</f>
        <v>Residential Rate RS</v>
      </c>
      <c r="B56" s="469"/>
      <c r="C56" s="185">
        <f>'WSS-28'!G788</f>
        <v>700487210.28428662</v>
      </c>
      <c r="D56" s="185">
        <f>'WSS-28'!G801</f>
        <v>584258326.89705789</v>
      </c>
      <c r="E56" s="185">
        <f t="shared" ref="E56:E72" si="9">C56-D56</f>
        <v>116228883.38722873</v>
      </c>
      <c r="F56" s="185">
        <f>'WSS-28'!G805</f>
        <v>2446199408.7285142</v>
      </c>
      <c r="G56" s="186">
        <f t="shared" ref="G56:G73" si="10">E56/F56</f>
        <v>4.7514067321127423E-2</v>
      </c>
      <c r="K56" s="182"/>
      <c r="P56" s="182"/>
    </row>
    <row r="57" spans="1:16" x14ac:dyDescent="0.5">
      <c r="A57" s="413" t="str">
        <f>A31</f>
        <v>Residential Net Metering Rate NMS2</v>
      </c>
      <c r="B57" s="469"/>
      <c r="C57" s="2">
        <f>'WSS-28'!H788</f>
        <v>1153558.4659934915</v>
      </c>
      <c r="D57" s="2">
        <f>'WSS-28'!H801</f>
        <v>938654.2042106482</v>
      </c>
      <c r="E57" s="2">
        <f t="shared" si="9"/>
        <v>214904.26178284327</v>
      </c>
      <c r="F57" s="2">
        <f>'WSS-28'!H805</f>
        <v>11340629.922834281</v>
      </c>
      <c r="G57" s="186">
        <f t="shared" si="10"/>
        <v>1.8949940457023026E-2</v>
      </c>
      <c r="K57" s="182"/>
      <c r="P57" s="182"/>
    </row>
    <row r="58" spans="1:16" x14ac:dyDescent="0.5">
      <c r="A58" s="413" t="str">
        <f t="shared" ref="A58:A72" si="11">A32</f>
        <v>General Service Rate GS</v>
      </c>
      <c r="B58" s="469"/>
      <c r="C58" s="2">
        <f>'WSS-28'!I788</f>
        <v>256755582.31170341</v>
      </c>
      <c r="D58" s="2">
        <f>'WSS-28'!I801</f>
        <v>169293869.54506874</v>
      </c>
      <c r="E58" s="2">
        <f t="shared" si="9"/>
        <v>87461712.766634673</v>
      </c>
      <c r="F58" s="2">
        <f>'WSS-28'!I805</f>
        <v>610148565.20987535</v>
      </c>
      <c r="G58" s="186">
        <f t="shared" si="10"/>
        <v>0.14334494540120749</v>
      </c>
      <c r="K58" s="182"/>
      <c r="P58" s="182"/>
    </row>
    <row r="59" spans="1:16" x14ac:dyDescent="0.5">
      <c r="A59" s="413" t="str">
        <f t="shared" si="11"/>
        <v>All Electric Schools Rate AES</v>
      </c>
      <c r="B59" s="469"/>
      <c r="C59" s="2">
        <f>'WSS-28'!J788</f>
        <v>13812903.159021668</v>
      </c>
      <c r="D59" s="2">
        <f>'WSS-28'!J801</f>
        <v>10432954.932254257</v>
      </c>
      <c r="E59" s="2">
        <f t="shared" si="9"/>
        <v>3379948.2267674115</v>
      </c>
      <c r="F59" s="2">
        <f>'WSS-28'!J805</f>
        <v>38738639.515784226</v>
      </c>
      <c r="G59" s="186">
        <f t="shared" si="10"/>
        <v>8.7250049795637163E-2</v>
      </c>
      <c r="K59" s="182"/>
      <c r="P59" s="182"/>
    </row>
    <row r="60" spans="1:16" x14ac:dyDescent="0.5">
      <c r="A60" s="413" t="str">
        <f t="shared" si="11"/>
        <v>Power Service Secondary Rate PSS</v>
      </c>
      <c r="C60" s="2">
        <f>'WSS-28'!K788</f>
        <v>192819907.0645768</v>
      </c>
      <c r="D60" s="2">
        <f>'WSS-28'!K801</f>
        <v>133177970.60296936</v>
      </c>
      <c r="E60" s="2">
        <f t="shared" si="9"/>
        <v>59641936.461607441</v>
      </c>
      <c r="F60" s="2">
        <f>'WSS-28'!K805</f>
        <v>458864450.23790866</v>
      </c>
      <c r="G60" s="186">
        <f t="shared" si="10"/>
        <v>0.12997724367334346</v>
      </c>
    </row>
    <row r="61" spans="1:16" x14ac:dyDescent="0.5">
      <c r="A61" s="413" t="str">
        <f t="shared" si="11"/>
        <v>Power Service Primary Rate PSP</v>
      </c>
      <c r="C61" s="2">
        <f>'WSS-28'!L788</f>
        <v>10666897.744947476</v>
      </c>
      <c r="D61" s="2">
        <f>'WSS-28'!L801</f>
        <v>6321305.8585644402</v>
      </c>
      <c r="E61" s="2">
        <f t="shared" si="9"/>
        <v>4345591.8863830362</v>
      </c>
      <c r="F61" s="2">
        <f>'WSS-28'!L805</f>
        <v>19887373.090099089</v>
      </c>
      <c r="G61" s="186">
        <f t="shared" si="10"/>
        <v>0.21851010018746445</v>
      </c>
    </row>
    <row r="62" spans="1:16" x14ac:dyDescent="0.5">
      <c r="A62" s="413" t="str">
        <f t="shared" si="11"/>
        <v>Time of Day Secondary Rate TODS</v>
      </c>
      <c r="C62" s="2">
        <f>'WSS-28'!M788</f>
        <v>152481820.86097458</v>
      </c>
      <c r="D62" s="2">
        <f>'WSS-28'!M801</f>
        <v>124813793.72834226</v>
      </c>
      <c r="E62" s="2">
        <f t="shared" si="9"/>
        <v>27668027.132632315</v>
      </c>
      <c r="F62" s="2">
        <f>'WSS-28'!M805</f>
        <v>424829680.24150598</v>
      </c>
      <c r="G62" s="186">
        <f t="shared" si="10"/>
        <v>6.5127340248222948E-2</v>
      </c>
    </row>
    <row r="63" spans="1:16" x14ac:dyDescent="0.5">
      <c r="A63" s="413" t="str">
        <f t="shared" si="11"/>
        <v>Time of Day Primary  Rate TODP</v>
      </c>
      <c r="B63" s="469"/>
      <c r="C63" s="2">
        <f>'WSS-28'!N788</f>
        <v>282913547.64112037</v>
      </c>
      <c r="D63" s="2">
        <f>'WSS-28'!N801</f>
        <v>239058258.47397807</v>
      </c>
      <c r="E63" s="2">
        <f t="shared" si="9"/>
        <v>43855289.167142302</v>
      </c>
      <c r="F63" s="2">
        <f>'WSS-28'!N805</f>
        <v>740452252.7798897</v>
      </c>
      <c r="G63" s="186">
        <f t="shared" si="10"/>
        <v>5.9227707124255222E-2</v>
      </c>
    </row>
    <row r="64" spans="1:16" x14ac:dyDescent="0.5">
      <c r="A64" s="413" t="str">
        <f t="shared" si="11"/>
        <v>Retail Transmission Service Rate RTS</v>
      </c>
      <c r="B64" s="469"/>
      <c r="C64" s="2">
        <f>'WSS-28'!O788</f>
        <v>89904089.9059342</v>
      </c>
      <c r="D64" s="2">
        <f>'WSS-28'!O801</f>
        <v>75375988.411225826</v>
      </c>
      <c r="E64" s="2">
        <f t="shared" si="9"/>
        <v>14528101.494708374</v>
      </c>
      <c r="F64" s="2">
        <f>'WSS-28'!O805</f>
        <v>225535968.00398141</v>
      </c>
      <c r="G64" s="186">
        <f t="shared" si="10"/>
        <v>6.4415896157423144E-2</v>
      </c>
    </row>
    <row r="65" spans="1:7" x14ac:dyDescent="0.5">
      <c r="A65" s="413" t="str">
        <f t="shared" si="11"/>
        <v>Fluctuating Load Service Rate FLS</v>
      </c>
      <c r="B65" s="469"/>
      <c r="C65" s="2">
        <f>'WSS-28'!P788</f>
        <v>23550438.387091648</v>
      </c>
      <c r="D65" s="2">
        <f>'WSS-28'!P801</f>
        <v>18052003.842339005</v>
      </c>
      <c r="E65" s="2">
        <f t="shared" si="9"/>
        <v>5498434.5447526425</v>
      </c>
      <c r="F65" s="2">
        <f>'WSS-28'!P805</f>
        <v>104333029.76968977</v>
      </c>
      <c r="G65" s="186">
        <f t="shared" si="10"/>
        <v>5.2700803924607353E-2</v>
      </c>
    </row>
    <row r="66" spans="1:7" x14ac:dyDescent="0.5">
      <c r="A66" s="413" t="str">
        <f t="shared" si="11"/>
        <v>Lighting Rate LS &amp; RLS</v>
      </c>
      <c r="B66" s="469"/>
      <c r="C66" s="2">
        <f>'WSS-28'!Q788</f>
        <v>30870772.810713783</v>
      </c>
      <c r="D66" s="2">
        <f>'WSS-28'!Q801</f>
        <v>16902099.942877505</v>
      </c>
      <c r="E66" s="2">
        <f t="shared" si="9"/>
        <v>13968672.867836278</v>
      </c>
      <c r="F66" s="2">
        <f>'WSS-28'!Q805</f>
        <v>113340011.04474315</v>
      </c>
      <c r="G66" s="186">
        <f t="shared" si="10"/>
        <v>0.12324573413286395</v>
      </c>
    </row>
    <row r="67" spans="1:7" x14ac:dyDescent="0.5">
      <c r="A67" s="413" t="str">
        <f t="shared" si="11"/>
        <v>Lighting Rate LE</v>
      </c>
      <c r="B67" s="469"/>
      <c r="C67" s="2">
        <f>'WSS-28'!R788</f>
        <v>316366.41382896813</v>
      </c>
      <c r="D67" s="2">
        <f>'WSS-28'!R801</f>
        <v>204488.16918411586</v>
      </c>
      <c r="E67" s="2">
        <f t="shared" si="9"/>
        <v>111878.24464485227</v>
      </c>
      <c r="F67" s="2">
        <f>'WSS-28'!R805</f>
        <v>398642.54509885528</v>
      </c>
      <c r="G67" s="186">
        <f t="shared" si="10"/>
        <v>0.28064802921903065</v>
      </c>
    </row>
    <row r="68" spans="1:7" x14ac:dyDescent="0.5">
      <c r="A68" s="413" t="str">
        <f t="shared" si="11"/>
        <v>Lighting Rate TE</v>
      </c>
      <c r="B68" s="469"/>
      <c r="C68" s="2">
        <f>'WSS-28'!S788</f>
        <v>274797.72459276643</v>
      </c>
      <c r="D68" s="2">
        <f>'WSS-28'!S801</f>
        <v>198532.95654245766</v>
      </c>
      <c r="E68" s="2">
        <f t="shared" si="9"/>
        <v>76264.768050308776</v>
      </c>
      <c r="F68" s="2">
        <f>'WSS-28'!S805</f>
        <v>615301.08940570417</v>
      </c>
      <c r="G68" s="186">
        <f t="shared" si="10"/>
        <v>0.12394707138251616</v>
      </c>
    </row>
    <row r="69" spans="1:7" x14ac:dyDescent="0.5">
      <c r="A69" s="413" t="str">
        <f t="shared" si="11"/>
        <v>Outdoor Sports Lighting Rate OSL</v>
      </c>
      <c r="B69" s="469"/>
      <c r="C69" s="2">
        <f>'WSS-28'!T788</f>
        <v>90346.064860777158</v>
      </c>
      <c r="D69" s="2">
        <f>'WSS-28'!T801</f>
        <v>40934.761250956421</v>
      </c>
      <c r="E69" s="2">
        <f t="shared" si="9"/>
        <v>49411.303609820738</v>
      </c>
      <c r="F69" s="2">
        <f>'WSS-28'!T805</f>
        <v>174628.96328485516</v>
      </c>
      <c r="G69" s="186">
        <f t="shared" si="10"/>
        <v>0.28295022017178734</v>
      </c>
    </row>
    <row r="70" spans="1:7" x14ac:dyDescent="0.5">
      <c r="A70" s="413" t="str">
        <f t="shared" si="11"/>
        <v>Electric Vehicle Charging Rate EV</v>
      </c>
      <c r="B70" s="469"/>
      <c r="C70" s="2">
        <f>'WSS-28'!U788</f>
        <v>55177.862468193845</v>
      </c>
      <c r="D70" s="2">
        <f>'WSS-28'!U801</f>
        <v>47518.505281370242</v>
      </c>
      <c r="E70" s="2">
        <f t="shared" si="9"/>
        <v>7659.3571868236031</v>
      </c>
      <c r="F70" s="2">
        <f>'WSS-28'!U805</f>
        <v>105538.39738445418</v>
      </c>
      <c r="G70" s="186">
        <f t="shared" si="10"/>
        <v>7.2574128247581554E-2</v>
      </c>
    </row>
    <row r="71" spans="1:7" x14ac:dyDescent="0.5">
      <c r="A71" s="413" t="str">
        <f t="shared" si="11"/>
        <v>Solar Share Rate SSP</v>
      </c>
      <c r="B71" s="469"/>
      <c r="C71" s="2">
        <f>'WSS-28'!V788</f>
        <v>458350.02000000025</v>
      </c>
      <c r="D71" s="2">
        <f>'WSS-28'!V801</f>
        <v>271279.02333687083</v>
      </c>
      <c r="E71" s="2">
        <f t="shared" si="9"/>
        <v>187070.99666312942</v>
      </c>
      <c r="F71" s="2">
        <f>'WSS-28'!V805</f>
        <v>2576969.3631635425</v>
      </c>
      <c r="G71" s="186">
        <f t="shared" si="10"/>
        <v>7.2593411212881889E-2</v>
      </c>
    </row>
    <row r="72" spans="1:7" x14ac:dyDescent="0.5">
      <c r="A72" s="188" t="str">
        <f t="shared" si="11"/>
        <v>Business Solar Rate BS</v>
      </c>
      <c r="B72" s="474"/>
      <c r="C72" s="189">
        <f>'WSS-28'!W788</f>
        <v>47933.62</v>
      </c>
      <c r="D72" s="189">
        <f>'WSS-28'!W801</f>
        <v>26812.187291680402</v>
      </c>
      <c r="E72" s="189">
        <f t="shared" si="9"/>
        <v>21121.4327083196</v>
      </c>
      <c r="F72" s="189">
        <f>'WSS-28'!W805</f>
        <v>290934.43683645804</v>
      </c>
      <c r="G72" s="190">
        <f t="shared" si="10"/>
        <v>7.2598599663856622E-2</v>
      </c>
    </row>
    <row r="73" spans="1:7" x14ac:dyDescent="0.5">
      <c r="C73" s="2">
        <f>SUM(C56:C72)</f>
        <v>1756659700.3421144</v>
      </c>
      <c r="D73" s="2">
        <f>SUM(D56:D72)</f>
        <v>1379414792.0417759</v>
      </c>
      <c r="E73" s="2">
        <f>SUM(E56:E72)</f>
        <v>377244908.3003394</v>
      </c>
      <c r="F73" s="2">
        <f>SUM(F56:F72)</f>
        <v>5197832023.3400011</v>
      </c>
      <c r="G73" s="186">
        <f t="shared" si="10"/>
        <v>7.2577356599132836E-2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activeCell="D10" sqref="D10"/>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1743</v>
      </c>
    </row>
    <row r="2" spans="1:20" x14ac:dyDescent="0.5">
      <c r="A2" s="6" t="s">
        <v>929</v>
      </c>
    </row>
    <row r="3" spans="1:20" x14ac:dyDescent="0.5">
      <c r="B3" s="276" t="s">
        <v>2169</v>
      </c>
      <c r="O3" s="9"/>
    </row>
    <row r="4" spans="1:20" x14ac:dyDescent="0.5">
      <c r="A4" s="9"/>
      <c r="B4" s="276" t="s">
        <v>2170</v>
      </c>
      <c r="C4" s="168"/>
      <c r="D4" s="442"/>
      <c r="E4" s="167"/>
      <c r="F4" s="167" t="s">
        <v>935</v>
      </c>
      <c r="G4" s="169"/>
      <c r="L4" s="9"/>
      <c r="M4" s="9"/>
      <c r="N4" s="9"/>
      <c r="O4" s="9"/>
      <c r="Q4" s="9"/>
    </row>
    <row r="5" spans="1:20" x14ac:dyDescent="0.5">
      <c r="A5" s="9"/>
      <c r="B5" s="276" t="s">
        <v>2098</v>
      </c>
      <c r="C5" s="167"/>
      <c r="D5" s="443" t="s">
        <v>2099</v>
      </c>
      <c r="E5" s="169" t="s">
        <v>2273</v>
      </c>
      <c r="F5" s="167" t="s">
        <v>857</v>
      </c>
      <c r="G5" s="167" t="s">
        <v>526</v>
      </c>
      <c r="L5" s="9"/>
      <c r="M5" s="9"/>
      <c r="N5" s="9"/>
      <c r="O5" s="9"/>
      <c r="Q5" s="9"/>
      <c r="R5" s="9"/>
      <c r="S5" s="9"/>
      <c r="T5" s="9"/>
    </row>
    <row r="6" spans="1:20" s="15" customFormat="1" ht="15.3" thickBot="1" x14ac:dyDescent="0.55000000000000004">
      <c r="A6" s="397"/>
      <c r="B6" s="277">
        <v>44742</v>
      </c>
      <c r="C6" s="170" t="s">
        <v>2334</v>
      </c>
      <c r="D6" s="170" t="s">
        <v>2100</v>
      </c>
      <c r="E6" s="21" t="s">
        <v>103</v>
      </c>
      <c r="F6" s="21" t="s">
        <v>103</v>
      </c>
      <c r="G6" s="21" t="s">
        <v>527</v>
      </c>
      <c r="N6" s="18"/>
      <c r="O6" s="150"/>
    </row>
    <row r="7" spans="1:20" s="15" customFormat="1" x14ac:dyDescent="0.5">
      <c r="A7" s="150"/>
      <c r="B7" s="151"/>
      <c r="C7" s="18"/>
      <c r="D7" s="18"/>
      <c r="E7" s="18"/>
      <c r="F7" s="18"/>
      <c r="L7" s="18"/>
      <c r="M7" s="18"/>
      <c r="N7" s="153"/>
      <c r="O7" s="150"/>
    </row>
    <row r="8" spans="1:20" s="15" customFormat="1" x14ac:dyDescent="0.5">
      <c r="A8" s="387" t="s">
        <v>2115</v>
      </c>
      <c r="B8" s="403">
        <f>(161405939/365+48922/365)-B10</f>
        <v>441695.83493150683</v>
      </c>
      <c r="C8" s="404">
        <f>(5942534922+152971+1580188+175576-819961-3865)-C10</f>
        <v>5933862870.8046446</v>
      </c>
      <c r="D8" s="404">
        <f>(611318012.98+174784.03)-D10</f>
        <v>610498742.60889256</v>
      </c>
      <c r="E8" s="404">
        <v>1010009.7690536255</v>
      </c>
      <c r="F8" s="404">
        <v>1938073.4555977816</v>
      </c>
      <c r="G8" s="404">
        <v>4306026.4117211783</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2571</v>
      </c>
      <c r="B10" s="403">
        <f>7755/12</f>
        <v>646.25</v>
      </c>
      <c r="C10" s="404">
        <v>9756960.1953553148</v>
      </c>
      <c r="D10" s="404">
        <f>C10*0.08963+(3380363*(C10/C8))+236056*0.53+(C10/(C8+C10))*(3380363-10160333)</f>
        <v>994054.40110739076</v>
      </c>
      <c r="E10" s="404">
        <v>1031.482039309476</v>
      </c>
      <c r="F10" s="404">
        <v>6226.5405145583227</v>
      </c>
      <c r="G10" s="404">
        <v>12948.562385265441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2186</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2119</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2345</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2344</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2343</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2342</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2120</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2121</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2336</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2104</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2346</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2350</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2348</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2349</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2550</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2463594.9027471254</v>
      </c>
      <c r="F41" s="404">
        <f t="shared" si="0"/>
        <v>4395336.8008682849</v>
      </c>
      <c r="G41" s="404">
        <f t="shared" si="0"/>
        <v>7565260.3431181861</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192"/>
      <c r="C2" s="192"/>
      <c r="D2" s="192"/>
      <c r="E2" s="192"/>
      <c r="F2" s="192"/>
      <c r="G2" s="192"/>
      <c r="H2" s="192"/>
      <c r="I2" s="192"/>
      <c r="J2" s="192"/>
      <c r="K2" s="192"/>
      <c r="L2" s="192"/>
      <c r="M2" s="192"/>
      <c r="N2" s="192"/>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1742</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'WSS-28'!G174</f>
        <v>2446199408.7285142</v>
      </c>
      <c r="E14" s="247">
        <f>'WSS-28'!G123+'WSS-28'!G124+'WSS-28'!G125</f>
        <v>1218676519.1335526</v>
      </c>
      <c r="F14" s="248">
        <f>'WSS-28'!G126</f>
        <v>27448762.011031896</v>
      </c>
      <c r="G14" s="248">
        <f>'WSS-28'!G135</f>
        <v>376133314.88870335</v>
      </c>
      <c r="H14" s="248">
        <f>'WSS-28'!G145+'WSS-28'!G147+'WSS-28'!G152+'WSS-28'!G141</f>
        <v>303876029.68678224</v>
      </c>
      <c r="I14" s="248">
        <f>'WSS-28'!G146+'WSS-28'!G148+'WSS-28'!G153+'WSS-28'!G157+'WSS-28'!G160+'WSS-28'!G163</f>
        <v>513803174.61635309</v>
      </c>
      <c r="J14" s="248">
        <f>'WSS-28'!G166+'WSS-28'!G169</f>
        <v>6261608.392090695</v>
      </c>
      <c r="K14" s="249">
        <f>SUM(E14:J14)</f>
        <v>2446199408.7285137</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2446199408.7285142</v>
      </c>
      <c r="E16" s="253">
        <f t="shared" ref="E16:K16" si="1">E14+E15</f>
        <v>1218676519.1335526</v>
      </c>
      <c r="F16" s="254">
        <f t="shared" si="1"/>
        <v>27448762.011031896</v>
      </c>
      <c r="G16" s="254">
        <f t="shared" si="1"/>
        <v>376133314.88870335</v>
      </c>
      <c r="H16" s="254">
        <f t="shared" si="1"/>
        <v>303876029.68678224</v>
      </c>
      <c r="I16" s="254">
        <f t="shared" si="1"/>
        <v>513803174.61635309</v>
      </c>
      <c r="J16" s="254">
        <f t="shared" si="1"/>
        <v>6261608.392090695</v>
      </c>
      <c r="K16" s="249">
        <f t="shared" si="1"/>
        <v>2446199408.7285137</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'WSS-28'!G807</f>
        <v>4.7514067321127423E-2</v>
      </c>
      <c r="E18" s="258">
        <f t="shared" ref="E18:J18" si="2">D18</f>
        <v>4.7514067321127423E-2</v>
      </c>
      <c r="F18" s="259">
        <f t="shared" si="2"/>
        <v>4.7514067321127423E-2</v>
      </c>
      <c r="G18" s="259">
        <f t="shared" si="2"/>
        <v>4.7514067321127423E-2</v>
      </c>
      <c r="H18" s="259">
        <f t="shared" si="2"/>
        <v>4.7514067321127423E-2</v>
      </c>
      <c r="I18" s="259">
        <f t="shared" si="2"/>
        <v>4.7514067321127423E-2</v>
      </c>
      <c r="J18" s="259">
        <f t="shared" si="2"/>
        <v>4.7514067321127423E-2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116228883.38722873</v>
      </c>
      <c r="E20" s="253">
        <f t="shared" ref="E20:J20" si="3">E18*E16</f>
        <v>57904278.172788851</v>
      </c>
      <c r="F20" s="254">
        <f t="shared" si="3"/>
        <v>1304202.3260737744</v>
      </c>
      <c r="G20" s="254">
        <f t="shared" si="3"/>
        <v>17871623.64534067</v>
      </c>
      <c r="H20" s="254">
        <f t="shared" si="3"/>
        <v>14438386.131814687</v>
      </c>
      <c r="I20" s="254">
        <f t="shared" si="3"/>
        <v>24412878.628530391</v>
      </c>
      <c r="J20" s="254">
        <f t="shared" si="3"/>
        <v>297514.48268033372</v>
      </c>
      <c r="K20" s="249">
        <f>SUM(E20:J20)</f>
        <v>116228883.38722871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'WSS-28'!G767</f>
        <v>51426298.213818833</v>
      </c>
      <c r="E22" s="253">
        <f t="shared" ref="E22:J22" si="4">(E14/$D$14)*$D$22</f>
        <v>25620160.758568916</v>
      </c>
      <c r="F22" s="254">
        <f t="shared" si="4"/>
        <v>577053.61866356723</v>
      </c>
      <c r="G22" s="254">
        <f t="shared" si="4"/>
        <v>7907427.3138152966</v>
      </c>
      <c r="H22" s="254">
        <f t="shared" si="4"/>
        <v>6388366.8955780044</v>
      </c>
      <c r="I22" s="254">
        <f t="shared" si="4"/>
        <v>10801652.222932044</v>
      </c>
      <c r="J22" s="254">
        <f t="shared" si="4"/>
        <v>131637.40426099679</v>
      </c>
      <c r="K22" s="249">
        <f>SUM(E22:J22)</f>
        <v>51426298.213818826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64802585.173409894</v>
      </c>
      <c r="E24" s="253">
        <f t="shared" ref="E24:J24" si="5">E20-E22</f>
        <v>32284117.414219934</v>
      </c>
      <c r="F24" s="254">
        <f t="shared" si="5"/>
        <v>727148.70741020713</v>
      </c>
      <c r="G24" s="254">
        <f t="shared" si="5"/>
        <v>9964196.3315253742</v>
      </c>
      <c r="H24" s="254">
        <f t="shared" si="5"/>
        <v>8050019.2362366822</v>
      </c>
      <c r="I24" s="254">
        <f t="shared" si="5"/>
        <v>13611226.405598346</v>
      </c>
      <c r="J24" s="254">
        <f t="shared" si="5"/>
        <v>165877.07841933693</v>
      </c>
      <c r="K24" s="249">
        <f>SUM(E24:J24)</f>
        <v>64802585.173409887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'WSS-28'!G736+'WSS-28'!G799</f>
        <v>20577849.646841757</v>
      </c>
      <c r="E26" s="253">
        <f t="shared" ref="E26:J26" si="6">$D$26*(E24/$K$24)</f>
        <v>10251716.229422862</v>
      </c>
      <c r="F26" s="254">
        <f t="shared" si="6"/>
        <v>230903.7013252108</v>
      </c>
      <c r="G26" s="254">
        <f t="shared" si="6"/>
        <v>3164098.0589440293</v>
      </c>
      <c r="H26" s="254">
        <f t="shared" si="6"/>
        <v>2556257.3631002847</v>
      </c>
      <c r="I26" s="254">
        <f t="shared" si="6"/>
        <v>4322200.5686040586</v>
      </c>
      <c r="J26" s="254">
        <f t="shared" si="6"/>
        <v>52673.725445309792</v>
      </c>
      <c r="K26" s="249">
        <f>SUM(E26:J26)</f>
        <v>20577849.646841757</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'WSS-28'!G730</f>
        <v>368559285.05166757</v>
      </c>
      <c r="E28" s="253">
        <f>'WSS-28'!G180+'WSS-28'!G181+'WSS-28'!G182</f>
        <v>54569345.581264667</v>
      </c>
      <c r="F28" s="254">
        <f>'WSS-28'!G183</f>
        <v>191480771.98148727</v>
      </c>
      <c r="G28" s="254">
        <f>'WSS-28'!G192</f>
        <v>25467104.499538247</v>
      </c>
      <c r="H28" s="254">
        <f>'WSS-28'!G198+'WSS-28'!G202+'WSS-28'!G204+'WSS-28'!G209</f>
        <v>17112285.229169413</v>
      </c>
      <c r="I28" s="254">
        <f>'WSS-28'!G203+'WSS-28'!G205+'WSS-28'!G210+'WSS-28'!G214+'WSS-28'!G217</f>
        <v>37572927.11043597</v>
      </c>
      <c r="J28" s="254">
        <f>'WSS-28'!G223+'WSS-28'!G226</f>
        <v>42356850.649772063</v>
      </c>
      <c r="K28" s="249">
        <f>SUM(E28:J28)</f>
        <v>368559285.05166763</v>
      </c>
      <c r="L28" s="250" t="str">
        <f>IF(ABS(K28-D28)&lt;0.01,"ok","err")</f>
        <v>ok</v>
      </c>
      <c r="M28" s="26"/>
      <c r="N28" s="26"/>
    </row>
    <row r="29" spans="1:14" ht="15.3" x14ac:dyDescent="0.55000000000000004">
      <c r="A29" s="282" t="s">
        <v>1803</v>
      </c>
      <c r="B29" s="244" t="s">
        <v>813</v>
      </c>
      <c r="C29" s="245"/>
      <c r="D29" s="253">
        <f>'WSS-28'!G731</f>
        <v>163885507.33045521</v>
      </c>
      <c r="E29" s="253">
        <f>'WSS-28'!G300</f>
        <v>118244455.02613318</v>
      </c>
      <c r="F29" s="254">
        <v>0</v>
      </c>
      <c r="G29" s="254">
        <f>'WSS-28'!G306</f>
        <v>15467212.859995713</v>
      </c>
      <c r="H29" s="254">
        <f>'WSS-28'!G312+'WSS-28'!G316+'WSS-28'!G318+'WSS-28'!G323</f>
        <v>11149164.863702659</v>
      </c>
      <c r="I29" s="254">
        <f>'WSS-28'!G317+'WSS-28'!G319+'WSS-28'!G324+'WSS-28'!G328+'WSS-28'!G331</f>
        <v>19024674.580623664</v>
      </c>
      <c r="J29" s="254">
        <v>0</v>
      </c>
      <c r="K29" s="249">
        <f>SUM(E29:J29)</f>
        <v>163885507.33045521</v>
      </c>
      <c r="L29" s="250" t="str">
        <f>IF(ABS(K29-D29)&lt;0.01,"ok","err")</f>
        <v>ok</v>
      </c>
      <c r="M29" s="26"/>
      <c r="N29" s="26"/>
    </row>
    <row r="30" spans="1:14" ht="15.3" x14ac:dyDescent="0.55000000000000004">
      <c r="A30" s="282" t="s">
        <v>1804</v>
      </c>
      <c r="B30" s="244" t="s">
        <v>408</v>
      </c>
      <c r="C30" s="245"/>
      <c r="D30" s="253">
        <f>'WSS-28'!G732+'WSS-28'!G733+'WSS-28'!G734</f>
        <v>23244630.06459339</v>
      </c>
      <c r="E30" s="253">
        <f>'WSS-28'!G414+'WSS-28'!G471+'WSS-28'!G357</f>
        <v>12664067.14710062</v>
      </c>
      <c r="F30" s="254">
        <f>'WSS-28'!G529</f>
        <v>0</v>
      </c>
      <c r="G30" s="254">
        <f>'WSS-28'!G420+'WSS-28'!G477+'WSS-28'!G363</f>
        <v>3114508.0431892131</v>
      </c>
      <c r="H30" s="254">
        <f>'WSS-28'!G426+'WSS-28'!G430+'WSS-28'!G432+'WSS-28'!G437+'WSS-28'!G483+'WSS-28'!G487+'WSS-28'!G489+'WSS-28'!G494+'WSS-28'!G369+'WSS-28'!G373+'WSS-28'!G375+'WSS-28'!G380</f>
        <v>2758255.1568146343</v>
      </c>
      <c r="I30" s="254">
        <f>'WSS-28'!G431+'WSS-28'!G433+'WSS-28'!G438+'WSS-28'!G442+'WSS-28'!G445+'WSS-28'!G488+'WSS-28'!G490+'WSS-28'!G495+'WSS-28'!G499+'WSS-28'!G502+'WSS-28'!G374+'WSS-28'!G376+'WSS-28'!G381+'WSS-28'!G385+'WSS-28'!G388</f>
        <v>4707799.7174889212</v>
      </c>
      <c r="J30" s="254">
        <v>0</v>
      </c>
      <c r="K30" s="249">
        <f>SUM(E30:J30)</f>
        <v>23244630.06459339</v>
      </c>
      <c r="L30" s="250" t="str">
        <f>IF(ABS(K30-D30)&lt;0.01,"ok","err")</f>
        <v>ok</v>
      </c>
      <c r="M30" s="26"/>
      <c r="N30" s="26"/>
    </row>
    <row r="31" spans="1:14" ht="15.3" x14ac:dyDescent="0.55000000000000004">
      <c r="A31" s="282" t="s">
        <v>1805</v>
      </c>
      <c r="B31" s="244" t="s">
        <v>1841</v>
      </c>
      <c r="C31" s="245"/>
      <c r="D31" s="253">
        <f>'WSS-28'!G738</f>
        <v>7639489.9126472678</v>
      </c>
      <c r="E31" s="253">
        <f>D31</f>
        <v>7639489.9126472678</v>
      </c>
      <c r="F31" s="254"/>
      <c r="G31" s="254"/>
      <c r="H31" s="254"/>
      <c r="I31" s="254"/>
      <c r="J31" s="254"/>
      <c r="K31" s="249">
        <f>SUM(E31:J31)</f>
        <v>7639489.9126472678</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'WSS-28'!G796+'WSS-28'!G797</f>
        <v>351564.89085269533</v>
      </c>
      <c r="E36" s="253">
        <f t="shared" ref="E36:J36" si="9">(E14/($D$14)*$D$36)</f>
        <v>175146.75046734096</v>
      </c>
      <c r="F36" s="254">
        <f t="shared" si="9"/>
        <v>3944.9036681216135</v>
      </c>
      <c r="G36" s="254">
        <f t="shared" si="9"/>
        <v>54057.43592409858</v>
      </c>
      <c r="H36" s="254">
        <f t="shared" si="9"/>
        <v>43672.70420734556</v>
      </c>
      <c r="I36" s="254">
        <f t="shared" si="9"/>
        <v>73843.18562061018</v>
      </c>
      <c r="J36" s="254">
        <f t="shared" si="9"/>
        <v>899.91096517839094</v>
      </c>
      <c r="K36" s="249">
        <f t="shared" si="8"/>
        <v>351564.89085269527</v>
      </c>
      <c r="L36" s="250" t="str">
        <f t="shared" si="7"/>
        <v>ok</v>
      </c>
      <c r="M36" s="26"/>
      <c r="N36" s="26"/>
    </row>
    <row r="37" spans="1:14" ht="15.3" x14ac:dyDescent="0.55000000000000004">
      <c r="A37" s="284" t="s">
        <v>1827</v>
      </c>
      <c r="B37" s="244" t="s">
        <v>2266</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351564.89085269533</v>
      </c>
      <c r="E39" s="253">
        <f t="shared" si="10"/>
        <v>175146.75046734096</v>
      </c>
      <c r="F39" s="254">
        <f t="shared" si="10"/>
        <v>3944.9036681216135</v>
      </c>
      <c r="G39" s="254">
        <f t="shared" si="10"/>
        <v>54057.43592409858</v>
      </c>
      <c r="H39" s="254">
        <f t="shared" si="10"/>
        <v>43672.70420734556</v>
      </c>
      <c r="I39" s="254">
        <f t="shared" si="10"/>
        <v>73843.18562061018</v>
      </c>
      <c r="J39" s="254">
        <f t="shared" si="10"/>
        <v>899.91096517839094</v>
      </c>
      <c r="K39" s="249">
        <f t="shared" si="8"/>
        <v>351564.89085269527</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700487210.28428662</v>
      </c>
      <c r="E41" s="253">
        <f t="shared" ref="E41:J41" si="11">SUM(E28:E31)+E22+E26+E39+E24</f>
        <v>261448498.81982481</v>
      </c>
      <c r="F41" s="254">
        <f t="shared" si="11"/>
        <v>193019822.91255441</v>
      </c>
      <c r="G41" s="254">
        <f t="shared" si="11"/>
        <v>65138604.542931974</v>
      </c>
      <c r="H41" s="254">
        <f t="shared" si="11"/>
        <v>48058021.448809028</v>
      </c>
      <c r="I41" s="254">
        <f t="shared" si="11"/>
        <v>90114323.791303605</v>
      </c>
      <c r="J41" s="254">
        <f t="shared" si="11"/>
        <v>42707938.768862888</v>
      </c>
      <c r="K41" s="249">
        <f>SUM(E41:J41)</f>
        <v>700487210.28428662</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-'WSS-28'!G659-'WSS-28'!G665</f>
        <v>-582738.63295099512</v>
      </c>
      <c r="E43" s="253">
        <f>D43</f>
        <v>-582738.63295099512</v>
      </c>
      <c r="F43" s="254">
        <v>0</v>
      </c>
      <c r="G43" s="254">
        <v>0</v>
      </c>
      <c r="H43" s="254">
        <v>0</v>
      </c>
      <c r="I43" s="254">
        <v>0</v>
      </c>
      <c r="J43" s="254">
        <v>0</v>
      </c>
      <c r="K43" s="249">
        <f>SUM(E43:J43)</f>
        <v>-582738.63295099512</v>
      </c>
      <c r="L43" s="250" t="str">
        <f>IF(ABS(K43-D43)&lt;0.01,"ok","err")</f>
        <v>ok</v>
      </c>
      <c r="M43" s="26"/>
      <c r="N43" s="26"/>
    </row>
    <row r="44" spans="1:14" ht="15.3" x14ac:dyDescent="0.55000000000000004">
      <c r="A44" s="282" t="s">
        <v>1831</v>
      </c>
      <c r="B44" s="244" t="s">
        <v>1833</v>
      </c>
      <c r="C44" s="245"/>
      <c r="D44" s="253">
        <f>-'WSS-28'!G652</f>
        <v>-3055519.7481216351</v>
      </c>
      <c r="E44" s="253">
        <v>0</v>
      </c>
      <c r="F44" s="254">
        <f>D44</f>
        <v>-3055519.7481216351</v>
      </c>
      <c r="G44" s="254">
        <v>0</v>
      </c>
      <c r="H44" s="254">
        <v>0</v>
      </c>
      <c r="I44" s="254">
        <v>0</v>
      </c>
      <c r="J44" s="254">
        <v>0</v>
      </c>
      <c r="K44" s="249">
        <f>SUM(E44:J44)</f>
        <v>-3055519.7481216351</v>
      </c>
      <c r="L44" s="250" t="str">
        <f>IF(ABS(K44-D44)&lt;0.01,"ok","err")</f>
        <v>ok</v>
      </c>
      <c r="M44" s="26"/>
      <c r="N44" s="26"/>
    </row>
    <row r="45" spans="1:14" ht="15.3" x14ac:dyDescent="0.55000000000000004">
      <c r="A45" s="282" t="s">
        <v>1835</v>
      </c>
      <c r="B45" s="244" t="s">
        <v>2470</v>
      </c>
      <c r="C45" s="245"/>
      <c r="D45" s="253">
        <f>-'WSS-28'!G658</f>
        <v>-11711750.868090896</v>
      </c>
      <c r="E45" s="253">
        <v>0</v>
      </c>
      <c r="F45" s="254">
        <v>0</v>
      </c>
      <c r="G45" s="254">
        <f>D45</f>
        <v>-11711750.868090896</v>
      </c>
      <c r="H45" s="254">
        <v>0</v>
      </c>
      <c r="I45" s="254">
        <v>0</v>
      </c>
      <c r="J45" s="254">
        <v>0</v>
      </c>
      <c r="K45" s="249">
        <f>SUM(E45:J45)</f>
        <v>-11711750.868090896</v>
      </c>
      <c r="L45" s="250" t="str">
        <f>IF(ABS(K45-D45)&lt;0.01,"ok","err")</f>
        <v>ok</v>
      </c>
      <c r="M45" s="26"/>
      <c r="N45" s="26"/>
    </row>
    <row r="46" spans="1:14" ht="15.3" x14ac:dyDescent="0.55000000000000004">
      <c r="A46" s="282" t="s">
        <v>1836</v>
      </c>
      <c r="B46" s="244" t="s">
        <v>1834</v>
      </c>
      <c r="C46" s="245"/>
      <c r="D46" s="253">
        <f>-('WSS-28'!G654+'WSS-28'!G655+'WSS-28'!G656+'WSS-28'!G657+'WSS-28'!G660+'WSS-28'!G662+'WSS-28'!G663+'WSS-28'!G664)</f>
        <v>-6474534.7027923502</v>
      </c>
      <c r="E46" s="253">
        <f t="shared" ref="E46:J46" si="12">(E14/($D$14)*$D$46)</f>
        <v>-3225560.1838730006</v>
      </c>
      <c r="F46" s="254">
        <f t="shared" si="12"/>
        <v>-72650.64391520257</v>
      </c>
      <c r="G46" s="254">
        <f t="shared" si="12"/>
        <v>-995539.52610472054</v>
      </c>
      <c r="H46" s="254">
        <f t="shared" si="12"/>
        <v>-804290.88999595272</v>
      </c>
      <c r="I46" s="254">
        <f t="shared" si="12"/>
        <v>-1359920.4024775622</v>
      </c>
      <c r="J46" s="254">
        <f t="shared" si="12"/>
        <v>-16573.056425910683</v>
      </c>
      <c r="K46" s="249">
        <f>SUM(E46:J46)</f>
        <v>-6474534.7027923493</v>
      </c>
      <c r="L46" s="250" t="str">
        <f>IF(ABS(K46-D46)&lt;0.01,"ok","err")</f>
        <v>ok</v>
      </c>
      <c r="M46" s="26"/>
      <c r="N46" s="26"/>
    </row>
    <row r="47" spans="1:14" ht="15.3" x14ac:dyDescent="0.55000000000000004">
      <c r="A47" s="282" t="s">
        <v>1842</v>
      </c>
      <c r="B47" s="244" t="s">
        <v>1837</v>
      </c>
      <c r="C47" s="245"/>
      <c r="D47" s="253">
        <f>SUM(D43:D46)</f>
        <v>-21824543.951955877</v>
      </c>
      <c r="E47" s="253">
        <f t="shared" ref="E47:J47" si="13">SUM(E43:E46)</f>
        <v>-3808298.8168239957</v>
      </c>
      <c r="F47" s="254">
        <f t="shared" si="13"/>
        <v>-3128170.3920368375</v>
      </c>
      <c r="G47" s="254">
        <f t="shared" si="13"/>
        <v>-12707290.394195616</v>
      </c>
      <c r="H47" s="254">
        <f t="shared" si="13"/>
        <v>-804290.88999595272</v>
      </c>
      <c r="I47" s="254">
        <f t="shared" si="13"/>
        <v>-1359920.4024775622</v>
      </c>
      <c r="J47" s="254">
        <f t="shared" si="13"/>
        <v>-16573.056425910683</v>
      </c>
      <c r="K47" s="249">
        <f>SUM(E47:J47)</f>
        <v>-21824543.951955874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1843</v>
      </c>
      <c r="B49" s="244" t="s">
        <v>1810</v>
      </c>
      <c r="C49" s="262" t="e">
        <f>'WSS-28'!#REF!-SUM('WSS-28'!G652:G665)-'WSS-28'!#REF!-'WSS-28'!#REF!-'WSS-28'!#REF!</f>
        <v>#REF!</v>
      </c>
      <c r="D49" s="253">
        <f>D41+D47</f>
        <v>678662666.3323307</v>
      </c>
      <c r="E49" s="253">
        <f t="shared" ref="E49:J49" si="14">E41+E47</f>
        <v>257640200.00300083</v>
      </c>
      <c r="F49" s="254">
        <f t="shared" si="14"/>
        <v>189891652.52051759</v>
      </c>
      <c r="G49" s="254">
        <f t="shared" si="14"/>
        <v>52431314.148736358</v>
      </c>
      <c r="H49" s="254">
        <f t="shared" si="14"/>
        <v>47253730.558813073</v>
      </c>
      <c r="I49" s="254">
        <f t="shared" si="14"/>
        <v>88754403.388826042</v>
      </c>
      <c r="J49" s="254">
        <f t="shared" si="14"/>
        <v>42691365.712436974</v>
      </c>
      <c r="K49" s="249">
        <f>SUM(E49:J49)</f>
        <v>678662666.33233094</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2268</v>
      </c>
      <c r="B51" s="244" t="s">
        <v>1812</v>
      </c>
      <c r="C51" s="245"/>
      <c r="D51" s="263"/>
      <c r="E51" s="264">
        <f>'Billing Det'!C8</f>
        <v>5933862870.8046446</v>
      </c>
      <c r="F51" s="265">
        <f>'Billing Det'!C8</f>
        <v>5933862870.8046446</v>
      </c>
      <c r="G51" s="265">
        <f>'Billing Det'!C8</f>
        <v>5933862870.8046446</v>
      </c>
      <c r="H51" s="265">
        <f>'Billing Det'!C8</f>
        <v>5933862870.8046446</v>
      </c>
      <c r="I51" s="265">
        <f>'WSS-28'!G830</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2473</v>
      </c>
      <c r="B53" s="266" t="s">
        <v>1814</v>
      </c>
      <c r="C53" s="267"/>
      <c r="D53" s="268"/>
      <c r="E53" s="269">
        <f t="shared" ref="E53:J53" si="15">E49/E51</f>
        <v>4.3418630597384239E-2</v>
      </c>
      <c r="F53" s="270">
        <f t="shared" si="15"/>
        <v>3.2001355045599138E-2</v>
      </c>
      <c r="G53" s="270">
        <f t="shared" si="15"/>
        <v>8.8359497498172821E-3</v>
      </c>
      <c r="H53" s="270">
        <f t="shared" si="15"/>
        <v>7.9634011751952335E-3</v>
      </c>
      <c r="I53" s="271">
        <f>I49/I51</f>
        <v>16.745007983942362</v>
      </c>
      <c r="J53" s="271">
        <f t="shared" si="15"/>
        <v>8.0544427364170676</v>
      </c>
      <c r="K53" s="272">
        <f>I53+J53</f>
        <v>24.799450720359431</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2257</v>
      </c>
      <c r="K55" s="291">
        <f>I53+J53</f>
        <v>24.799450720359431</v>
      </c>
      <c r="L55" s="418">
        <f>ROUND(K55/30.5, 2)</f>
        <v>0.81</v>
      </c>
      <c r="M55" s="26"/>
      <c r="N55" s="26"/>
    </row>
    <row r="56" spans="1:17" ht="15.3" x14ac:dyDescent="0.55000000000000004">
      <c r="A56" s="26"/>
      <c r="B56" s="26"/>
      <c r="C56" s="26"/>
      <c r="D56" s="290"/>
      <c r="E56" s="26"/>
      <c r="F56" s="26"/>
      <c r="G56" s="26"/>
      <c r="H56" s="26"/>
      <c r="I56" s="26"/>
      <c r="J56" s="26" t="s">
        <v>2262</v>
      </c>
      <c r="K56" s="289">
        <f>E53+G53+H53</f>
        <v>6.0217981522396755E-2</v>
      </c>
      <c r="L56" s="418"/>
      <c r="M56" s="26"/>
      <c r="N56" s="26" t="s">
        <v>1818</v>
      </c>
      <c r="Q56" s="186">
        <f>(I49+J49)/K49</f>
        <v>0.19368351262289119</v>
      </c>
    </row>
    <row r="57" spans="1:17" ht="15.3" x14ac:dyDescent="0.55000000000000004">
      <c r="A57" s="26"/>
      <c r="B57" s="26"/>
      <c r="C57" s="26"/>
      <c r="D57" s="279"/>
      <c r="E57" s="26"/>
      <c r="F57" s="26"/>
      <c r="G57" s="26"/>
      <c r="H57" s="26"/>
      <c r="I57" s="26"/>
      <c r="J57" s="26" t="s">
        <v>2258</v>
      </c>
      <c r="K57" s="289">
        <f>F53</f>
        <v>3.2001355045599138E-2</v>
      </c>
      <c r="L57" s="26"/>
      <c r="M57" s="26"/>
      <c r="N57" s="26" t="s">
        <v>1816</v>
      </c>
      <c r="Q57" s="186">
        <f>(E49+G49+H49)/K49</f>
        <v>0.52651377840132063</v>
      </c>
    </row>
    <row r="58" spans="1:17" ht="15.3" x14ac:dyDescent="0.55000000000000004">
      <c r="A58" s="26"/>
      <c r="B58" s="26"/>
      <c r="C58" s="26"/>
      <c r="D58" s="26"/>
      <c r="E58" s="26"/>
      <c r="F58" s="26"/>
      <c r="G58" s="26"/>
      <c r="H58" s="26"/>
      <c r="I58" s="26"/>
      <c r="J58" s="191"/>
      <c r="K58" s="292"/>
      <c r="L58" s="26"/>
      <c r="M58" s="26"/>
      <c r="N58" s="26" t="s">
        <v>2490</v>
      </c>
      <c r="Q58" s="186">
        <f>F49/K49</f>
        <v>0.27980270897578813</v>
      </c>
    </row>
    <row r="59" spans="1:17" ht="15.3" x14ac:dyDescent="0.55000000000000004">
      <c r="A59" s="26"/>
      <c r="B59" s="26"/>
      <c r="C59" s="26"/>
      <c r="D59" s="290"/>
      <c r="E59" s="26"/>
      <c r="F59" s="26"/>
      <c r="G59" s="26"/>
      <c r="H59" s="26"/>
      <c r="I59" s="26"/>
      <c r="J59" s="293" t="s">
        <v>2259</v>
      </c>
      <c r="K59" s="294">
        <v>16.13</v>
      </c>
      <c r="L59" s="26"/>
      <c r="M59" s="26"/>
      <c r="N59" s="26"/>
      <c r="Q59" s="452">
        <f>SUM(Q56:Q58)</f>
        <v>1</v>
      </c>
    </row>
    <row r="60" spans="1:17" ht="15.3" x14ac:dyDescent="0.55000000000000004">
      <c r="A60" s="26"/>
      <c r="B60" s="26"/>
      <c r="C60" s="26"/>
      <c r="D60" s="274"/>
      <c r="E60" s="26"/>
      <c r="F60" s="26"/>
      <c r="G60" s="26"/>
      <c r="H60" s="26"/>
      <c r="I60" s="26"/>
      <c r="J60" s="293" t="s">
        <v>2260</v>
      </c>
      <c r="K60" s="295">
        <f>(K55-K59)*I51</f>
        <v>45951123.291920558</v>
      </c>
      <c r="L60" s="26"/>
      <c r="M60" s="26"/>
      <c r="N60" s="26"/>
    </row>
    <row r="61" spans="1:17" ht="15.3" x14ac:dyDescent="0.55000000000000004">
      <c r="A61" s="26"/>
      <c r="B61" s="26"/>
      <c r="C61" s="26"/>
      <c r="D61" s="26"/>
      <c r="E61" s="26"/>
      <c r="F61" s="26"/>
      <c r="G61" s="26"/>
      <c r="H61" s="26"/>
      <c r="I61" s="26"/>
      <c r="J61" s="293" t="s">
        <v>2261</v>
      </c>
      <c r="K61" s="296">
        <f>K60/H51</f>
        <v>7.7438802163774115E-3</v>
      </c>
      <c r="L61" s="26"/>
      <c r="M61" s="26"/>
      <c r="N61" s="26"/>
    </row>
    <row r="62" spans="1:17" ht="15.3" x14ac:dyDescent="0.55000000000000004">
      <c r="J62" s="293" t="s">
        <v>2263</v>
      </c>
      <c r="K62" s="32">
        <v>6.77E-3</v>
      </c>
    </row>
    <row r="63" spans="1:17" ht="15.3" x14ac:dyDescent="0.55000000000000004">
      <c r="J63" s="293" t="s">
        <v>2264</v>
      </c>
      <c r="K63" s="297">
        <f>K61+K62+K56</f>
        <v>7.4731861738774163E-2</v>
      </c>
      <c r="L63" s="300">
        <f>K63+K57</f>
        <v>0.10673321678437331</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'WSS-28'!I174</f>
        <v>610148565.20987535</v>
      </c>
      <c r="E14" s="247">
        <f>'WSS-28'!I123+'WSS-28'!I124+'WSS-28'!I125</f>
        <v>328577606.44293022</v>
      </c>
      <c r="F14" s="248">
        <f>'WSS-28'!I126</f>
        <v>7762757.2657228718</v>
      </c>
      <c r="G14" s="248">
        <f>'WSS-28'!I135</f>
        <v>96774179.533726037</v>
      </c>
      <c r="H14" s="248">
        <f>'WSS-28'!I145+'WSS-28'!I147+'WSS-28'!I152+'WSS-28'!I141</f>
        <v>69013461.077962995</v>
      </c>
      <c r="I14" s="248">
        <f>'WSS-28'!I146+'WSS-28'!I148+'WSS-28'!I153+'WSS-28'!I157+'WSS-28'!I160+'WSS-28'!I163</f>
        <v>105635827.87740451</v>
      </c>
      <c r="J14" s="248">
        <f>'WSS-28'!I166+'WSS-28'!I169</f>
        <v>2384733.012128761</v>
      </c>
      <c r="K14" s="249">
        <f>SUM(E14:J14)</f>
        <v>610148565.20987535</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610148565.20987535</v>
      </c>
      <c r="E16" s="253">
        <f t="shared" ref="E16:K16" si="1">E14+E15</f>
        <v>328577606.44293022</v>
      </c>
      <c r="F16" s="254">
        <f t="shared" si="1"/>
        <v>7762757.2657228718</v>
      </c>
      <c r="G16" s="254">
        <f t="shared" si="1"/>
        <v>96774179.533726037</v>
      </c>
      <c r="H16" s="254">
        <f t="shared" si="1"/>
        <v>69013461.077962995</v>
      </c>
      <c r="I16" s="254">
        <f t="shared" si="1"/>
        <v>105635827.87740451</v>
      </c>
      <c r="J16" s="254">
        <f t="shared" si="1"/>
        <v>2384733.012128761</v>
      </c>
      <c r="K16" s="249">
        <f t="shared" si="1"/>
        <v>610148565.20987535</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'WSS-28'!I807</f>
        <v>0.14334494540120749</v>
      </c>
      <c r="E18" s="258">
        <f t="shared" ref="E18:J18" si="2">D18</f>
        <v>0.14334494540120749</v>
      </c>
      <c r="F18" s="259">
        <f t="shared" si="2"/>
        <v>0.14334494540120749</v>
      </c>
      <c r="G18" s="259">
        <f t="shared" si="2"/>
        <v>0.14334494540120749</v>
      </c>
      <c r="H18" s="259">
        <f t="shared" si="2"/>
        <v>0.14334494540120749</v>
      </c>
      <c r="I18" s="259">
        <f t="shared" si="2"/>
        <v>0.14334494540120749</v>
      </c>
      <c r="J18" s="259">
        <f t="shared" si="2"/>
        <v>0.14334494540120749</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87461712.766634673</v>
      </c>
      <c r="E20" s="253">
        <f t="shared" ref="E20:J20" si="3">E18*E16</f>
        <v>47099939.055621274</v>
      </c>
      <c r="F20" s="254">
        <f t="shared" si="3"/>
        <v>1112752.0164178717</v>
      </c>
      <c r="G20" s="254">
        <f t="shared" si="3"/>
        <v>13872089.481508609</v>
      </c>
      <c r="H20" s="254">
        <f t="shared" si="3"/>
        <v>9892730.8101689629</v>
      </c>
      <c r="I20" s="254">
        <f t="shared" si="3"/>
        <v>15142361.979497902</v>
      </c>
      <c r="J20" s="254">
        <f t="shared" si="3"/>
        <v>341839.42342005431</v>
      </c>
      <c r="K20" s="249">
        <f>SUM(E20:J20)</f>
        <v>87461712.766634688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'WSS-28'!I708</f>
        <v>12822948.388816658</v>
      </c>
      <c r="E22" s="253">
        <f t="shared" ref="E22:J22" si="4">(E14/$D$14)*$D$22</f>
        <v>6905422.5960349971</v>
      </c>
      <c r="F22" s="254">
        <f t="shared" si="4"/>
        <v>163142.94820809129</v>
      </c>
      <c r="G22" s="254">
        <f t="shared" si="4"/>
        <v>2033816.6477605307</v>
      </c>
      <c r="H22" s="254">
        <f t="shared" si="4"/>
        <v>1450394.379329442</v>
      </c>
      <c r="I22" s="254">
        <f t="shared" si="4"/>
        <v>2220054.0099868029</v>
      </c>
      <c r="J22" s="254">
        <f t="shared" si="4"/>
        <v>50117.807496795314</v>
      </c>
      <c r="K22" s="249">
        <f>SUM(E22:J22)</f>
        <v>12822948.38881666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74638764.377818018</v>
      </c>
      <c r="E24" s="253">
        <f t="shared" ref="E24:J24" si="5">E20-E22</f>
        <v>40194516.459586278</v>
      </c>
      <c r="F24" s="254">
        <f t="shared" si="5"/>
        <v>949609.06820978038</v>
      </c>
      <c r="G24" s="254">
        <f t="shared" si="5"/>
        <v>11838272.833748078</v>
      </c>
      <c r="H24" s="254">
        <f t="shared" si="5"/>
        <v>8442336.4308395199</v>
      </c>
      <c r="I24" s="254">
        <f t="shared" si="5"/>
        <v>12922307.969511099</v>
      </c>
      <c r="J24" s="254">
        <f t="shared" si="5"/>
        <v>291721.615923259</v>
      </c>
      <c r="K24" s="249">
        <f>SUM(E24:J24)</f>
        <v>74638764.377818018</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'WSS-28'!I680+'WSS-28'!I799</f>
        <v>16277693.254374534</v>
      </c>
      <c r="E26" s="253">
        <f t="shared" ref="E26:J26" si="6">$D$26*(E24/$K$24)</f>
        <v>8765874.0721530244</v>
      </c>
      <c r="F26" s="254">
        <f t="shared" si="6"/>
        <v>207096.74460373362</v>
      </c>
      <c r="G26" s="254">
        <f t="shared" si="6"/>
        <v>2581765.3260430321</v>
      </c>
      <c r="H26" s="254">
        <f t="shared" si="6"/>
        <v>1841158.0619932846</v>
      </c>
      <c r="I26" s="254">
        <f t="shared" si="6"/>
        <v>2818178.5566746853</v>
      </c>
      <c r="J26" s="254">
        <f t="shared" si="6"/>
        <v>63620.49290677299</v>
      </c>
      <c r="K26" s="249">
        <f>SUM(E26:J26)</f>
        <v>16277693.254374534</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'WSS-28'!I730</f>
        <v>102777582.98476294</v>
      </c>
      <c r="E28" s="253">
        <f>'WSS-28'!I180+'WSS-28'!I181+'WSS-28'!I182</f>
        <v>14712899.341817949</v>
      </c>
      <c r="F28" s="254">
        <f>'WSS-28'!I183</f>
        <v>54152487.946382076</v>
      </c>
      <c r="G28" s="254">
        <f>'WSS-28'!I192</f>
        <v>6552352.7044439856</v>
      </c>
      <c r="H28" s="254">
        <f>'WSS-28'!I198+'WSS-28'!I202+'WSS-28'!I204+'WSS-28'!I209</f>
        <v>3952927.0244769771</v>
      </c>
      <c r="I28" s="254">
        <f>'WSS-28'!I203+'WSS-28'!I205+'WSS-28'!I210+'WSS-28'!I214+'WSS-28'!I217</f>
        <v>8604244.7336821202</v>
      </c>
      <c r="J28" s="254">
        <f>'WSS-28'!I223+'WSS-28'!I226</f>
        <v>14802671.233959831</v>
      </c>
      <c r="K28" s="249">
        <f>SUM(E28:J28)</f>
        <v>102777582.98476294</v>
      </c>
      <c r="L28" s="250" t="str">
        <f>IF(ABS(K28-D28)&lt;0.01,"ok","err")</f>
        <v>ok</v>
      </c>
      <c r="M28" s="26"/>
      <c r="N28" s="26"/>
    </row>
    <row r="29" spans="1:14" ht="15.3" x14ac:dyDescent="0.55000000000000004">
      <c r="A29" s="282" t="s">
        <v>1803</v>
      </c>
      <c r="B29" s="244" t="s">
        <v>813</v>
      </c>
      <c r="C29" s="245"/>
      <c r="D29" s="253">
        <f>'WSS-28'!I731</f>
        <v>42244784.497978106</v>
      </c>
      <c r="E29" s="253">
        <f>'WSS-28'!I300</f>
        <v>31880880.116783291</v>
      </c>
      <c r="F29" s="254">
        <v>0</v>
      </c>
      <c r="G29" s="254">
        <f>'WSS-28'!I306</f>
        <v>3979511.4523223969</v>
      </c>
      <c r="H29" s="254">
        <f>'WSS-28'!I312+'WSS-28'!I316+'WSS-28'!I318+'WSS-28'!I323</f>
        <v>2531708.3179608742</v>
      </c>
      <c r="I29" s="254">
        <f>'WSS-28'!I317+'WSS-28'!I319+'WSS-28'!I324+'WSS-28'!I328+'WSS-28'!I331</f>
        <v>3852684.610911543</v>
      </c>
      <c r="J29" s="254">
        <v>0</v>
      </c>
      <c r="K29" s="249">
        <f>SUM(E29:J29)</f>
        <v>42244784.497978099</v>
      </c>
      <c r="L29" s="250" t="str">
        <f>IF(ABS(K29-D29)&lt;0.01,"ok","err")</f>
        <v>ok</v>
      </c>
      <c r="M29" s="26"/>
      <c r="N29" s="26"/>
    </row>
    <row r="30" spans="1:14" ht="15.3" x14ac:dyDescent="0.55000000000000004">
      <c r="A30" s="282" t="s">
        <v>1804</v>
      </c>
      <c r="B30" s="244" t="s">
        <v>408</v>
      </c>
      <c r="C30" s="245"/>
      <c r="D30" s="253">
        <f>'WSS-28'!I733+'WSS-28'!I734</f>
        <v>5795734.6660251059</v>
      </c>
      <c r="E30" s="253">
        <f>'WSS-28'!I414+'WSS-28'!I471+'WSS-28'!I357</f>
        <v>3414465.4514106209</v>
      </c>
      <c r="F30" s="254">
        <f>'WSS-28'!I529</f>
        <v>0</v>
      </c>
      <c r="G30" s="254">
        <f>'WSS-28'!I420+'WSS-28'!I477+'WSS-28'!I363</f>
        <v>801322.16052175849</v>
      </c>
      <c r="H30" s="254">
        <f>'WSS-28'!I426+'WSS-28'!I430+'WSS-28'!I432+'WSS-28'!I437+'WSS-28'!I483+'WSS-28'!I487+'WSS-28'!I489+'WSS-28'!I494+'WSS-28'!I369+'WSS-28'!I373+'WSS-28'!I375+'WSS-28'!I380</f>
        <v>626333.68587994704</v>
      </c>
      <c r="I30" s="254">
        <f>'WSS-28'!I431+'WSS-28'!I433+'WSS-28'!I438+'WSS-28'!I442+'WSS-28'!I445+'WSS-28'!I488+'WSS-28'!I490+'WSS-28'!I495+'WSS-28'!I499+'WSS-28'!I502+'WSS-28'!I374+'WSS-28'!I376+'WSS-28'!I381+'WSS-28'!I385+'WSS-28'!I388</f>
        <v>953613.36821277835</v>
      </c>
      <c r="J30" s="254">
        <v>0</v>
      </c>
      <c r="K30" s="249">
        <f>SUM(E30:J30)</f>
        <v>5795734.666025104</v>
      </c>
      <c r="L30" s="250" t="str">
        <f>IF(ABS(K30-D30)&lt;0.01,"ok","err")</f>
        <v>ok</v>
      </c>
      <c r="M30" s="26"/>
      <c r="N30" s="26"/>
    </row>
    <row r="31" spans="1:14" ht="15.3" x14ac:dyDescent="0.55000000000000004">
      <c r="A31" s="282" t="s">
        <v>1805</v>
      </c>
      <c r="B31" s="244" t="s">
        <v>1841</v>
      </c>
      <c r="C31" s="245"/>
      <c r="D31" s="253">
        <f>'WSS-28'!I738</f>
        <v>2059747.0046663503</v>
      </c>
      <c r="E31" s="253">
        <f>D31</f>
        <v>2059747.0046663503</v>
      </c>
      <c r="F31" s="254"/>
      <c r="G31" s="254"/>
      <c r="H31" s="254"/>
      <c r="I31" s="254"/>
      <c r="J31" s="254"/>
      <c r="K31" s="249">
        <f>SUM(E31:J31)</f>
        <v>2059747.0046663503</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'WSS-28'!I796+'WSS-28'!I797</f>
        <v>138327.13726168533</v>
      </c>
      <c r="E36" s="253">
        <f t="shared" ref="E36:J36" si="9">(E14/($D$14)*$D$36)</f>
        <v>74492.020893162626</v>
      </c>
      <c r="F36" s="254">
        <f t="shared" si="9"/>
        <v>1759.8992295514672</v>
      </c>
      <c r="G36" s="254">
        <f t="shared" si="9"/>
        <v>21939.730713197845</v>
      </c>
      <c r="H36" s="254">
        <f t="shared" si="9"/>
        <v>15646.082032744991</v>
      </c>
      <c r="I36" s="254">
        <f t="shared" si="9"/>
        <v>23948.760180273875</v>
      </c>
      <c r="J36" s="254">
        <f t="shared" si="9"/>
        <v>540.64421275454379</v>
      </c>
      <c r="K36" s="249">
        <f t="shared" si="8"/>
        <v>138327.13726168533</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138327.13726168533</v>
      </c>
      <c r="E39" s="253">
        <f t="shared" si="10"/>
        <v>74492.020893162626</v>
      </c>
      <c r="F39" s="254">
        <f t="shared" si="10"/>
        <v>1759.8992295514672</v>
      </c>
      <c r="G39" s="254">
        <f t="shared" si="10"/>
        <v>21939.730713197845</v>
      </c>
      <c r="H39" s="254">
        <f t="shared" si="10"/>
        <v>15646.082032744991</v>
      </c>
      <c r="I39" s="254">
        <f t="shared" si="10"/>
        <v>23948.760180273875</v>
      </c>
      <c r="J39" s="254">
        <f t="shared" si="10"/>
        <v>540.64421275454379</v>
      </c>
      <c r="K39" s="249">
        <f t="shared" si="8"/>
        <v>138327.13726168533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256755582.31170341</v>
      </c>
      <c r="E41" s="253">
        <f t="shared" ref="E41:J41" si="11">SUM(E28:E31)+E22+E26+E39+E24</f>
        <v>108008297.06334566</v>
      </c>
      <c r="F41" s="254">
        <f t="shared" si="11"/>
        <v>55474096.606633231</v>
      </c>
      <c r="G41" s="254">
        <f t="shared" si="11"/>
        <v>27808980.855552979</v>
      </c>
      <c r="H41" s="254">
        <f t="shared" si="11"/>
        <v>18860503.982512791</v>
      </c>
      <c r="I41" s="254">
        <f t="shared" si="11"/>
        <v>31395032.0091593</v>
      </c>
      <c r="J41" s="254">
        <f t="shared" si="11"/>
        <v>15208671.794499414</v>
      </c>
      <c r="K41" s="249">
        <f>SUM(E41:J41)</f>
        <v>256755582.31170338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-'WSS-28'!I659-'WSS-28'!I665</f>
        <v>-157117.05460034375</v>
      </c>
      <c r="E43" s="253">
        <f>D43</f>
        <v>-157117.05460034375</v>
      </c>
      <c r="F43" s="254">
        <v>0</v>
      </c>
      <c r="G43" s="254">
        <v>0</v>
      </c>
      <c r="H43" s="254">
        <v>0</v>
      </c>
      <c r="I43" s="254">
        <v>0</v>
      </c>
      <c r="J43" s="254">
        <v>0</v>
      </c>
      <c r="K43" s="249">
        <f>SUM(E43:J43)</f>
        <v>-157117.05460034375</v>
      </c>
      <c r="L43" s="250" t="str">
        <f>IF(ABS(K43-D43)&lt;0.01,"ok","err")</f>
        <v>ok</v>
      </c>
      <c r="M43" s="26"/>
      <c r="N43" s="26"/>
    </row>
    <row r="44" spans="1:14" ht="15.3" x14ac:dyDescent="0.55000000000000004">
      <c r="A44" s="282" t="s">
        <v>1831</v>
      </c>
      <c r="B44" s="244" t="s">
        <v>1833</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1835</v>
      </c>
      <c r="B45" s="244" t="s">
        <v>2470</v>
      </c>
      <c r="C45" s="245"/>
      <c r="D45" s="253">
        <f>-'WSS-28'!I658</f>
        <v>-3013280.2288419153</v>
      </c>
      <c r="E45" s="253">
        <v>0</v>
      </c>
      <c r="F45" s="254">
        <v>0</v>
      </c>
      <c r="G45" s="254">
        <f>D45</f>
        <v>-3013280.2288419153</v>
      </c>
      <c r="H45" s="254">
        <v>0</v>
      </c>
      <c r="I45" s="254">
        <v>0</v>
      </c>
      <c r="J45" s="254">
        <v>0</v>
      </c>
      <c r="K45" s="249">
        <f>SUM(E45:J45)</f>
        <v>-3013280.2288419153</v>
      </c>
      <c r="L45" s="250" t="str">
        <f>IF(ABS(K45-D45)&lt;0.01,"ok","err")</f>
        <v>ok</v>
      </c>
      <c r="M45" s="26"/>
      <c r="N45" s="26"/>
    </row>
    <row r="46" spans="1:14" ht="15.3" x14ac:dyDescent="0.55000000000000004">
      <c r="A46" s="282" t="s">
        <v>1836</v>
      </c>
      <c r="B46" s="244" t="s">
        <v>1834</v>
      </c>
      <c r="C46" s="245"/>
      <c r="D46" s="253">
        <f>-('WSS-28'!I654+'WSS-28'!I655+'WSS-28'!I656+'WSS-28'!I657+'WSS-28'!I660+'WSS-28'!I662+'WSS-28'!I663+'WSS-28'!I664)</f>
        <v>-1105137.0424399935</v>
      </c>
      <c r="E46" s="253">
        <f t="shared" ref="E46:J46" si="12">(E14/($D$14)*$D$46)</f>
        <v>-595139.12660180894</v>
      </c>
      <c r="F46" s="254">
        <f t="shared" si="12"/>
        <v>-14060.363483555224</v>
      </c>
      <c r="G46" s="254">
        <f t="shared" si="12"/>
        <v>-175283.09767912235</v>
      </c>
      <c r="H46" s="254">
        <f t="shared" si="12"/>
        <v>-125001.24824191457</v>
      </c>
      <c r="I46" s="254">
        <f t="shared" si="12"/>
        <v>-191333.83744986565</v>
      </c>
      <c r="J46" s="254">
        <f t="shared" si="12"/>
        <v>-4319.3689837268848</v>
      </c>
      <c r="K46" s="249">
        <f>SUM(E46:J46)</f>
        <v>-1105137.0424399937</v>
      </c>
      <c r="L46" s="250" t="str">
        <f>IF(ABS(K46-D46)&lt;0.01,"ok","err")</f>
        <v>ok</v>
      </c>
      <c r="M46" s="26"/>
      <c r="N46" s="26"/>
    </row>
    <row r="47" spans="1:14" ht="15.3" x14ac:dyDescent="0.55000000000000004">
      <c r="A47" s="282" t="s">
        <v>1842</v>
      </c>
      <c r="B47" s="244" t="s">
        <v>1837</v>
      </c>
      <c r="C47" s="245"/>
      <c r="D47" s="253">
        <f>SUM(D43:D46)</f>
        <v>-5139662.8470796011</v>
      </c>
      <c r="E47" s="253">
        <f t="shared" ref="E47:J47" si="13">SUM(E43:E46)</f>
        <v>-752256.18120215274</v>
      </c>
      <c r="F47" s="254">
        <f t="shared" si="13"/>
        <v>-878188.88468090352</v>
      </c>
      <c r="G47" s="254">
        <f t="shared" si="13"/>
        <v>-3188563.3265210376</v>
      </c>
      <c r="H47" s="254">
        <f t="shared" si="13"/>
        <v>-125001.24824191457</v>
      </c>
      <c r="I47" s="254">
        <f t="shared" si="13"/>
        <v>-191333.83744986565</v>
      </c>
      <c r="J47" s="254">
        <f t="shared" si="13"/>
        <v>-4319.3689837268848</v>
      </c>
      <c r="K47" s="249">
        <f>SUM(E47:J47)</f>
        <v>-5139662.8470796011</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251615919.46462381</v>
      </c>
      <c r="E49" s="253">
        <f t="shared" ref="E49:J49" si="14">E41+E47</f>
        <v>107256040.8821435</v>
      </c>
      <c r="F49" s="254">
        <f t="shared" si="14"/>
        <v>54595907.721952327</v>
      </c>
      <c r="G49" s="254">
        <f t="shared" si="14"/>
        <v>24620417.52903194</v>
      </c>
      <c r="H49" s="254">
        <f t="shared" si="14"/>
        <v>18735502.734270874</v>
      </c>
      <c r="I49" s="254">
        <f t="shared" si="14"/>
        <v>31203698.171709433</v>
      </c>
      <c r="J49" s="254">
        <f t="shared" si="14"/>
        <v>15204352.425515687</v>
      </c>
      <c r="K49" s="249">
        <f>SUM(E49:J49)</f>
        <v>251615919.46462372</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64">
        <f>'Billing Det'!C12</f>
        <v>1678149896</v>
      </c>
      <c r="F51" s="265">
        <f>$E$51</f>
        <v>1678149896</v>
      </c>
      <c r="G51" s="265">
        <f>$E$51</f>
        <v>1678149896</v>
      </c>
      <c r="H51" s="265">
        <f>$E$51</f>
        <v>1678149896</v>
      </c>
      <c r="I51" s="265">
        <f>'WSS-28'!I830</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269">
        <f t="shared" ref="E53:J53" si="15">E49/E51</f>
        <v>6.3913266113948791E-2</v>
      </c>
      <c r="F53" s="270">
        <f t="shared" si="15"/>
        <v>3.253339159516435E-2</v>
      </c>
      <c r="G53" s="270">
        <f t="shared" si="15"/>
        <v>1.46711670916386E-2</v>
      </c>
      <c r="H53" s="270">
        <f t="shared" si="15"/>
        <v>1.1164379760668813E-2</v>
      </c>
      <c r="I53" s="271">
        <f>I49/I51</f>
        <v>31.410607155843909</v>
      </c>
      <c r="J53" s="271">
        <f t="shared" si="15"/>
        <v>15.305171152112594</v>
      </c>
      <c r="K53" s="272">
        <f>I53+J53</f>
        <v>46.715778307956505</v>
      </c>
      <c r="L53" s="475">
        <f>ROUND(K55/30.5,2)</f>
        <v>1.53</v>
      </c>
      <c r="M53" s="26"/>
      <c r="N53" s="26"/>
    </row>
    <row r="54" spans="1:14" ht="15.3" x14ac:dyDescent="0.55000000000000004">
      <c r="A54" s="26"/>
      <c r="B54" s="26"/>
      <c r="C54" s="26"/>
      <c r="D54" s="26"/>
      <c r="E54" s="26"/>
      <c r="F54" s="26"/>
      <c r="G54" s="26"/>
      <c r="H54" s="26"/>
      <c r="I54" s="26"/>
      <c r="J54" s="26"/>
      <c r="K54" s="26"/>
      <c r="L54" s="415" t="s">
        <v>2471</v>
      </c>
      <c r="M54" s="415" t="s">
        <v>2472</v>
      </c>
      <c r="N54" s="26"/>
    </row>
    <row r="55" spans="1:14" ht="15.3" x14ac:dyDescent="0.55000000000000004">
      <c r="A55" s="26"/>
      <c r="B55" s="26"/>
      <c r="C55" s="26"/>
      <c r="D55" s="274"/>
      <c r="E55" s="26"/>
      <c r="F55" s="26"/>
      <c r="G55" s="26"/>
      <c r="H55" s="26"/>
      <c r="I55" s="26"/>
      <c r="J55" s="26" t="s">
        <v>2257</v>
      </c>
      <c r="K55" s="291">
        <f>I53+J53</f>
        <v>46.715778307956505</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2262</v>
      </c>
      <c r="K56" s="289">
        <f>E53+G53+H53</f>
        <v>8.9748812966256197E-2</v>
      </c>
      <c r="L56" s="418">
        <f>L55*K53</f>
        <v>35.745284669495859</v>
      </c>
      <c r="M56" s="418">
        <f>M55*K53</f>
        <v>10.970493638460647</v>
      </c>
      <c r="N56" s="26"/>
    </row>
    <row r="57" spans="1:14" ht="15.3" x14ac:dyDescent="0.55000000000000004">
      <c r="A57" s="26"/>
      <c r="B57" s="26"/>
      <c r="C57" s="26"/>
      <c r="D57" s="279"/>
      <c r="E57" s="26"/>
      <c r="F57" s="26"/>
      <c r="G57" s="26"/>
      <c r="H57" s="26"/>
      <c r="I57" s="26"/>
      <c r="J57" s="26" t="s">
        <v>2258</v>
      </c>
      <c r="K57" s="289">
        <f>F53</f>
        <v>3.253339159516435E-2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2259</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2260</v>
      </c>
      <c r="K60" s="295">
        <f>(K55-K59)*I51</f>
        <v>10684927.491471702</v>
      </c>
      <c r="L60" s="279"/>
      <c r="M60" s="26"/>
      <c r="N60" s="26"/>
    </row>
    <row r="61" spans="1:14" ht="15.3" x14ac:dyDescent="0.55000000000000004">
      <c r="A61" s="26"/>
      <c r="B61" s="26"/>
      <c r="C61" s="26"/>
      <c r="D61" s="26"/>
      <c r="E61" s="26"/>
      <c r="F61" s="26"/>
      <c r="G61" s="26"/>
      <c r="H61" s="26"/>
      <c r="I61" s="26"/>
      <c r="J61" s="293" t="s">
        <v>2261</v>
      </c>
      <c r="K61" s="296">
        <f>K60/H51</f>
        <v>6.3670876582241267E-3</v>
      </c>
      <c r="L61" s="26"/>
      <c r="M61" s="26"/>
      <c r="N61" s="26"/>
    </row>
    <row r="62" spans="1:14" ht="15.3" x14ac:dyDescent="0.55000000000000004">
      <c r="J62" s="293" t="s">
        <v>2263</v>
      </c>
      <c r="K62" s="32">
        <v>1.023E-2</v>
      </c>
    </row>
    <row r="63" spans="1:14" ht="15.3" x14ac:dyDescent="0.55000000000000004">
      <c r="J63" s="293" t="s">
        <v>2264</v>
      </c>
      <c r="K63" s="297">
        <f>K61+K62+K56</f>
        <v>0.10634590062448032</v>
      </c>
      <c r="L63" s="300">
        <f>K63+K57</f>
        <v>0.13887929221964468</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421"/>
      <c r="B2" s="421"/>
      <c r="C2" s="421"/>
      <c r="D2" s="421"/>
      <c r="E2" s="421"/>
      <c r="F2" s="421"/>
      <c r="G2" s="421"/>
      <c r="H2" s="421"/>
      <c r="I2" s="421"/>
      <c r="J2" s="421"/>
      <c r="K2" s="421"/>
      <c r="L2" s="421"/>
      <c r="M2" s="421"/>
      <c r="N2" s="421"/>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2188</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'WSS-28'!J174</f>
        <v>38738639.515784226</v>
      </c>
      <c r="E14" s="247">
        <f>'WSS-28'!J123+'WSS-28'!J124+'WSS-28'!J125</f>
        <v>21083927.456583828</v>
      </c>
      <c r="F14" s="248">
        <f>'WSS-28'!J126</f>
        <v>594639.77465136524</v>
      </c>
      <c r="G14" s="248">
        <f>'WSS-28'!J135</f>
        <v>9904284.8599546272</v>
      </c>
      <c r="H14" s="248">
        <f>'WSS-28'!J145+'WSS-28'!J147+'WSS-28'!J152+'WSS-28'!J141</f>
        <v>6334952.5857952982</v>
      </c>
      <c r="I14" s="248">
        <f>'WSS-28'!J146+'WSS-28'!J148+'WSS-28'!J153+'WSS-28'!J157+'WSS-28'!J160+'WSS-28'!J163</f>
        <v>759734.02620929549</v>
      </c>
      <c r="J14" s="248">
        <f>'WSS-28'!J166+'WSS-28'!J169</f>
        <v>61100.812589817491</v>
      </c>
      <c r="K14" s="249">
        <f>SUM(E14:J14)</f>
        <v>38738639.515784226</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38738639.515784226</v>
      </c>
      <c r="E16" s="253">
        <f t="shared" ref="E16:K16" si="1">E14+E15</f>
        <v>21083927.456583828</v>
      </c>
      <c r="F16" s="254">
        <f t="shared" si="1"/>
        <v>594639.77465136524</v>
      </c>
      <c r="G16" s="254">
        <f t="shared" si="1"/>
        <v>9904284.8599546272</v>
      </c>
      <c r="H16" s="254">
        <f t="shared" si="1"/>
        <v>6334952.5857952982</v>
      </c>
      <c r="I16" s="254">
        <f t="shared" si="1"/>
        <v>759734.02620929549</v>
      </c>
      <c r="J16" s="254">
        <f t="shared" si="1"/>
        <v>61100.812589817491</v>
      </c>
      <c r="K16" s="249">
        <f t="shared" si="1"/>
        <v>38738639.515784226</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'WSS-28'!J807</f>
        <v>8.7250049795637163E-2</v>
      </c>
      <c r="E18" s="258">
        <f t="shared" ref="E18:J18" si="2">D18</f>
        <v>8.7250049795637163E-2</v>
      </c>
      <c r="F18" s="259">
        <f t="shared" si="2"/>
        <v>8.7250049795637163E-2</v>
      </c>
      <c r="G18" s="259">
        <f t="shared" si="2"/>
        <v>8.7250049795637163E-2</v>
      </c>
      <c r="H18" s="259">
        <f t="shared" si="2"/>
        <v>8.7250049795637163E-2</v>
      </c>
      <c r="I18" s="259">
        <f t="shared" si="2"/>
        <v>8.7250049795637163E-2</v>
      </c>
      <c r="J18" s="259">
        <f t="shared" si="2"/>
        <v>8.7250049795637163E-2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3379948.2267674115</v>
      </c>
      <c r="E20" s="253">
        <f t="shared" ref="E20:J20" si="3">E18*E16</f>
        <v>1839573.7204745405</v>
      </c>
      <c r="F20" s="254">
        <f t="shared" si="3"/>
        <v>51882.349948798081</v>
      </c>
      <c r="G20" s="254">
        <f t="shared" si="3"/>
        <v>864149.34722121642</v>
      </c>
      <c r="H20" s="254">
        <f t="shared" si="3"/>
        <v>552724.92856364022</v>
      </c>
      <c r="I20" s="254">
        <f t="shared" si="3"/>
        <v>66286.831618200944</v>
      </c>
      <c r="J20" s="254">
        <f t="shared" si="3"/>
        <v>5331.0489410154705</v>
      </c>
      <c r="K20" s="249">
        <f>SUM(E20:J20)</f>
        <v>3379948.2267674115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'WSS-28'!J708</f>
        <v>808413.12691875722</v>
      </c>
      <c r="E22" s="253">
        <f t="shared" ref="E22:J22" si="4">(E14/$D$14)*$D$22</f>
        <v>439987.66957110888</v>
      </c>
      <c r="F22" s="254">
        <f t="shared" si="4"/>
        <v>12409.17609975193</v>
      </c>
      <c r="G22" s="254">
        <f t="shared" si="4"/>
        <v>206686.50199415599</v>
      </c>
      <c r="H22" s="254">
        <f t="shared" si="4"/>
        <v>132200.27581707315</v>
      </c>
      <c r="I22" s="254">
        <f t="shared" si="4"/>
        <v>15854.427709165773</v>
      </c>
      <c r="J22" s="254">
        <f t="shared" si="4"/>
        <v>1275.0757275016135</v>
      </c>
      <c r="K22" s="249">
        <f>SUM(E22:J22)</f>
        <v>808413.12691875733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2571535.0998486541</v>
      </c>
      <c r="E24" s="253">
        <f t="shared" ref="E24:J24" si="5">E20-E22</f>
        <v>1399586.0509034316</v>
      </c>
      <c r="F24" s="254">
        <f t="shared" si="5"/>
        <v>39473.17384904615</v>
      </c>
      <c r="G24" s="254">
        <f t="shared" si="5"/>
        <v>657462.84522706037</v>
      </c>
      <c r="H24" s="254">
        <f t="shared" si="5"/>
        <v>420524.65274656704</v>
      </c>
      <c r="I24" s="254">
        <f t="shared" si="5"/>
        <v>50432.403909035173</v>
      </c>
      <c r="J24" s="254">
        <f t="shared" si="5"/>
        <v>4055.973213513857</v>
      </c>
      <c r="K24" s="249">
        <f>SUM(E24:J24)</f>
        <v>2571535.0998486541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'WSS-28'!J680+'WSS-28'!J799</f>
        <v>637833.83766082034</v>
      </c>
      <c r="E26" s="253">
        <f t="shared" ref="E26:J26" si="6">$D$26*(E24/$K$24)</f>
        <v>347148.02922068903</v>
      </c>
      <c r="F26" s="254">
        <f t="shared" si="6"/>
        <v>9790.7767085394371</v>
      </c>
      <c r="G26" s="254">
        <f t="shared" si="6"/>
        <v>163074.59684888553</v>
      </c>
      <c r="H26" s="254">
        <f t="shared" si="6"/>
        <v>104305.34395898889</v>
      </c>
      <c r="I26" s="254">
        <f t="shared" si="6"/>
        <v>12509.062672196718</v>
      </c>
      <c r="J26" s="254">
        <f t="shared" si="6"/>
        <v>1006.0282515207712</v>
      </c>
      <c r="K26" s="249">
        <f>SUM(E26:J26)</f>
        <v>637833.83766082046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'WSS-28'!J730</f>
        <v>6577092.3423008164</v>
      </c>
      <c r="E28" s="253">
        <f>'WSS-28'!J180+'WSS-28'!J181+'WSS-28'!J182</f>
        <v>944086.56072789431</v>
      </c>
      <c r="F28" s="254">
        <f>'WSS-28'!J183</f>
        <v>4148168.2509170687</v>
      </c>
      <c r="G28" s="254">
        <f>'WSS-28'!J192</f>
        <v>670595.89655410906</v>
      </c>
      <c r="H28" s="254">
        <f>'WSS-28'!J198+'WSS-28'!J202+'WSS-28'!J204+'WSS-28'!J209</f>
        <v>368837.6096942334</v>
      </c>
      <c r="I28" s="254">
        <f>'WSS-28'!J203+'WSS-28'!J205+'WSS-28'!J210+'WSS-28'!J214+'WSS-28'!J217</f>
        <v>88341.114885617266</v>
      </c>
      <c r="J28" s="254">
        <f>'WSS-28'!J223+'WSS-28'!J226</f>
        <v>357062.90952189459</v>
      </c>
      <c r="K28" s="249">
        <f>SUM(E28:J28)</f>
        <v>6577092.3423008164</v>
      </c>
      <c r="L28" s="250" t="str">
        <f>IF(ABS(K28-D28)&lt;0.01,"ok","err")</f>
        <v>ok</v>
      </c>
      <c r="M28" s="26"/>
      <c r="N28" s="26"/>
    </row>
    <row r="29" spans="1:14" ht="15.3" x14ac:dyDescent="0.55000000000000004">
      <c r="A29" s="282" t="s">
        <v>1803</v>
      </c>
      <c r="B29" s="244" t="s">
        <v>813</v>
      </c>
      <c r="C29" s="245"/>
      <c r="D29" s="253">
        <f>'WSS-28'!J731</f>
        <v>2712858.1186784049</v>
      </c>
      <c r="E29" s="253">
        <f>'WSS-28'!J300</f>
        <v>2045708.9906735711</v>
      </c>
      <c r="F29" s="254">
        <v>0</v>
      </c>
      <c r="G29" s="254">
        <f>'WSS-28'!J306</f>
        <v>407280.2809298613</v>
      </c>
      <c r="H29" s="254">
        <f>'WSS-28'!J312+'WSS-28'!J316+'WSS-28'!J318+'WSS-28'!J323</f>
        <v>232358.46734691691</v>
      </c>
      <c r="I29" s="254">
        <f>'WSS-28'!J317+'WSS-28'!J319+'WSS-28'!J324+'WSS-28'!J328+'WSS-28'!J331</f>
        <v>27510.379728055479</v>
      </c>
      <c r="J29" s="254">
        <v>0</v>
      </c>
      <c r="K29" s="249">
        <f>SUM(E29:J29)</f>
        <v>2712858.1186784049</v>
      </c>
      <c r="L29" s="250" t="str">
        <f>IF(ABS(K29-D29)&lt;0.01,"ok","err")</f>
        <v>ok</v>
      </c>
      <c r="M29" s="26"/>
      <c r="N29" s="26"/>
    </row>
    <row r="30" spans="1:14" ht="15.3" x14ac:dyDescent="0.55000000000000004">
      <c r="A30" s="282" t="s">
        <v>1804</v>
      </c>
      <c r="B30" s="244" t="s">
        <v>408</v>
      </c>
      <c r="C30" s="245"/>
      <c r="D30" s="253">
        <f>'WSS-28'!J733+'WSS-28'!J734</f>
        <v>365407.81188207731</v>
      </c>
      <c r="E30" s="253">
        <f>'WSS-28'!J414+'WSS-28'!J471+'WSS-28'!J357</f>
        <v>219096.92099804466</v>
      </c>
      <c r="F30" s="254">
        <f>'WSS-28'!J529</f>
        <v>0</v>
      </c>
      <c r="G30" s="254">
        <f>'WSS-28'!J420+'WSS-28'!J477+'WSS-28'!J363</f>
        <v>82010.748948131222</v>
      </c>
      <c r="H30" s="254">
        <f>'WSS-28'!J426+'WSS-28'!J430+'WSS-28'!J432+'WSS-28'!J437+'WSS-28'!J483+'WSS-28'!J487+'WSS-28'!J489+'WSS-28'!J494+'WSS-28'!J369+'WSS-28'!J373+'WSS-28'!J375+'WSS-28'!J380</f>
        <v>57484.479656024472</v>
      </c>
      <c r="I30" s="254">
        <f>'WSS-28'!J431+'WSS-28'!J433+'WSS-28'!J438+'WSS-28'!J442+'WSS-28'!J445+'WSS-28'!J488+'WSS-28'!J490+'WSS-28'!J495+'WSS-28'!J499+'WSS-28'!J502+'WSS-28'!J374+'WSS-28'!J376+'WSS-28'!J381+'WSS-28'!J385+'WSS-28'!J388</f>
        <v>6815.6622798769367</v>
      </c>
      <c r="J30" s="254">
        <v>0</v>
      </c>
      <c r="K30" s="249">
        <f>SUM(E30:J30)</f>
        <v>365407.81188207731</v>
      </c>
      <c r="L30" s="250" t="str">
        <f>IF(ABS(K30-D30)&lt;0.01,"ok","err")</f>
        <v>ok</v>
      </c>
      <c r="M30" s="26"/>
      <c r="N30" s="26"/>
    </row>
    <row r="31" spans="1:14" ht="15.3" x14ac:dyDescent="0.55000000000000004">
      <c r="A31" s="282" t="s">
        <v>1805</v>
      </c>
      <c r="B31" s="244" t="s">
        <v>1841</v>
      </c>
      <c r="C31" s="245"/>
      <c r="D31" s="253">
        <f>'WSS-28'!J738</f>
        <v>132168.33884522188</v>
      </c>
      <c r="E31" s="253">
        <f>D31</f>
        <v>132168.33884522188</v>
      </c>
      <c r="F31" s="254"/>
      <c r="G31" s="254"/>
      <c r="H31" s="254"/>
      <c r="I31" s="254"/>
      <c r="J31" s="254"/>
      <c r="K31" s="249">
        <f>SUM(E31:J31)</f>
        <v>132168.33884522188</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'WSS-28'!J796+'WSS-28'!J797</f>
        <v>7594.4828869178218</v>
      </c>
      <c r="E36" s="253">
        <f t="shared" ref="E36:J36" si="9">(E14/($D$14)*$D$36)</f>
        <v>4133.3802182908485</v>
      </c>
      <c r="F36" s="254">
        <f t="shared" si="9"/>
        <v>116.57563737183922</v>
      </c>
      <c r="G36" s="254">
        <f t="shared" si="9"/>
        <v>1941.676910089649</v>
      </c>
      <c r="H36" s="254">
        <f t="shared" si="9"/>
        <v>1241.930269199446</v>
      </c>
      <c r="I36" s="254">
        <f t="shared" si="9"/>
        <v>148.94139631064601</v>
      </c>
      <c r="J36" s="254">
        <f t="shared" si="9"/>
        <v>11.978455655394695</v>
      </c>
      <c r="K36" s="249">
        <f t="shared" si="8"/>
        <v>7594.4828869178245</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7594.4828869178218</v>
      </c>
      <c r="E39" s="253">
        <f t="shared" si="10"/>
        <v>4133.3802182908485</v>
      </c>
      <c r="F39" s="254">
        <f t="shared" si="10"/>
        <v>116.57563737183922</v>
      </c>
      <c r="G39" s="254">
        <f t="shared" si="10"/>
        <v>1941.676910089649</v>
      </c>
      <c r="H39" s="254">
        <f t="shared" si="10"/>
        <v>1241.930269199446</v>
      </c>
      <c r="I39" s="254">
        <f t="shared" si="10"/>
        <v>148.94139631064601</v>
      </c>
      <c r="J39" s="254">
        <f t="shared" si="10"/>
        <v>11.978455655394695</v>
      </c>
      <c r="K39" s="249">
        <f t="shared" si="8"/>
        <v>7594.4828869178245</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13812903.15902167</v>
      </c>
      <c r="E41" s="253">
        <f t="shared" ref="E41:J41" si="11">SUM(E28:E31)+E22+E26+E39+E24</f>
        <v>5531915.9411582518</v>
      </c>
      <c r="F41" s="254">
        <f t="shared" si="11"/>
        <v>4209957.9532117778</v>
      </c>
      <c r="G41" s="254">
        <f t="shared" si="11"/>
        <v>2189052.547412293</v>
      </c>
      <c r="H41" s="254">
        <f t="shared" si="11"/>
        <v>1316952.7594890033</v>
      </c>
      <c r="I41" s="254">
        <f t="shared" si="11"/>
        <v>201611.992580258</v>
      </c>
      <c r="J41" s="254">
        <f t="shared" si="11"/>
        <v>363411.96517008619</v>
      </c>
      <c r="K41" s="249">
        <f>SUM(E41:J41)</f>
        <v>13812903.15902167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-'WSS-28'!J659-'WSS-28'!J665</f>
        <v>-10081.772209759927</v>
      </c>
      <c r="E43" s="253">
        <f>D43</f>
        <v>-10081.772209759927</v>
      </c>
      <c r="F43" s="254">
        <v>0</v>
      </c>
      <c r="G43" s="254">
        <v>0</v>
      </c>
      <c r="H43" s="254">
        <v>0</v>
      </c>
      <c r="I43" s="254">
        <v>0</v>
      </c>
      <c r="J43" s="254">
        <v>0</v>
      </c>
      <c r="K43" s="249">
        <f>SUM(E43:J43)</f>
        <v>-10081.772209759927</v>
      </c>
      <c r="L43" s="250" t="str">
        <f>IF(ABS(K43-D43)&lt;0.01,"ok","err")</f>
        <v>ok</v>
      </c>
      <c r="M43" s="26"/>
      <c r="N43" s="26"/>
    </row>
    <row r="44" spans="1:14" ht="15.3" x14ac:dyDescent="0.55000000000000004">
      <c r="A44" s="282" t="s">
        <v>1831</v>
      </c>
      <c r="B44" s="244" t="s">
        <v>1833</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1835</v>
      </c>
      <c r="B45" s="244" t="s">
        <v>2470</v>
      </c>
      <c r="C45" s="245"/>
      <c r="D45" s="253">
        <f>-'WSS-28'!J658</f>
        <v>-308392.03073707031</v>
      </c>
      <c r="E45" s="253">
        <v>0</v>
      </c>
      <c r="F45" s="254">
        <v>0</v>
      </c>
      <c r="G45" s="254">
        <f>D45</f>
        <v>-308392.03073707031</v>
      </c>
      <c r="H45" s="254">
        <v>0</v>
      </c>
      <c r="I45" s="254">
        <v>0</v>
      </c>
      <c r="J45" s="254">
        <v>0</v>
      </c>
      <c r="K45" s="249">
        <f>SUM(E45:J45)</f>
        <v>-308392.03073707031</v>
      </c>
      <c r="L45" s="250" t="str">
        <f>IF(ABS(K45-D45)&lt;0.01,"ok","err")</f>
        <v>ok</v>
      </c>
      <c r="M45" s="26"/>
      <c r="N45" s="26"/>
    </row>
    <row r="46" spans="1:14" ht="15.3" x14ac:dyDescent="0.55000000000000004">
      <c r="A46" s="282" t="s">
        <v>1836</v>
      </c>
      <c r="B46" s="244" t="s">
        <v>1834</v>
      </c>
      <c r="C46" s="245"/>
      <c r="D46" s="253">
        <f>-('WSS-28'!J654+'WSS-28'!J655+'WSS-28'!J656+'WSS-28'!J657+'WSS-28'!J660+'WSS-28'!J662+'WSS-28'!J663+'WSS-28'!J664)</f>
        <v>-54324.951001090929</v>
      </c>
      <c r="E46" s="253">
        <f t="shared" ref="E46:J46" si="12">(E14/($D$14)*$D$46)</f>
        <v>-29566.947634358217</v>
      </c>
      <c r="F46" s="254">
        <f t="shared" si="12"/>
        <v>-833.89032307324203</v>
      </c>
      <c r="G46" s="254">
        <f t="shared" si="12"/>
        <v>-13889.227821195196</v>
      </c>
      <c r="H46" s="254">
        <f t="shared" si="12"/>
        <v>-8883.7913029274059</v>
      </c>
      <c r="I46" s="254">
        <f t="shared" si="12"/>
        <v>-1065.4094791032826</v>
      </c>
      <c r="J46" s="254">
        <f t="shared" si="12"/>
        <v>-85.684440433593764</v>
      </c>
      <c r="K46" s="249">
        <f>SUM(E46:J46)</f>
        <v>-54324.951001090936</v>
      </c>
      <c r="L46" s="250" t="str">
        <f>IF(ABS(K46-D46)&lt;0.01,"ok","err")</f>
        <v>ok</v>
      </c>
      <c r="M46" s="26"/>
      <c r="N46" s="26"/>
    </row>
    <row r="47" spans="1:14" ht="15.3" x14ac:dyDescent="0.55000000000000004">
      <c r="A47" s="282" t="s">
        <v>1842</v>
      </c>
      <c r="B47" s="244" t="s">
        <v>1837</v>
      </c>
      <c r="C47" s="245"/>
      <c r="D47" s="253">
        <f>SUM(D43:D46)</f>
        <v>-438992.39771719585</v>
      </c>
      <c r="E47" s="253">
        <f t="shared" ref="E47:J47" si="13">SUM(E43:E46)</f>
        <v>-39648.719844118146</v>
      </c>
      <c r="F47" s="254">
        <f t="shared" si="13"/>
        <v>-67027.534092347938</v>
      </c>
      <c r="G47" s="254">
        <f t="shared" si="13"/>
        <v>-322281.25855826552</v>
      </c>
      <c r="H47" s="254">
        <f t="shared" si="13"/>
        <v>-8883.7913029274059</v>
      </c>
      <c r="I47" s="254">
        <f t="shared" si="13"/>
        <v>-1065.4094791032826</v>
      </c>
      <c r="J47" s="254">
        <f t="shared" si="13"/>
        <v>-85.684440433593764</v>
      </c>
      <c r="K47" s="249">
        <f>SUM(E47:J47)</f>
        <v>-438992.39771719585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13373910.761304474</v>
      </c>
      <c r="E49" s="253">
        <f t="shared" ref="E49:J49" si="14">E41+E47</f>
        <v>5492267.2213141341</v>
      </c>
      <c r="F49" s="254">
        <f t="shared" si="14"/>
        <v>4142930.4191194298</v>
      </c>
      <c r="G49" s="254">
        <f t="shared" si="14"/>
        <v>1866771.2888540276</v>
      </c>
      <c r="H49" s="254">
        <f t="shared" si="14"/>
        <v>1308068.968186076</v>
      </c>
      <c r="I49" s="254">
        <f t="shared" si="14"/>
        <v>200546.58310115471</v>
      </c>
      <c r="J49" s="254">
        <f t="shared" si="14"/>
        <v>363326.28072965262</v>
      </c>
      <c r="K49" s="249">
        <f>SUM(E49:J49)</f>
        <v>13373910.761304477</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64">
        <f>'Billing Det'!C14</f>
        <v>128548999</v>
      </c>
      <c r="F51" s="265">
        <f>$E$51</f>
        <v>128548999</v>
      </c>
      <c r="G51" s="265">
        <f>$E$51</f>
        <v>128548999</v>
      </c>
      <c r="H51" s="265">
        <f>$E$51</f>
        <v>128548999</v>
      </c>
      <c r="I51" s="265">
        <f>'WSS-28'!J830</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269">
        <f t="shared" ref="E53:J53" si="15">E49/E51</f>
        <v>4.2725087430001175E-2</v>
      </c>
      <c r="F53" s="270">
        <f t="shared" si="15"/>
        <v>3.2228414467229183E-2</v>
      </c>
      <c r="G53" s="270">
        <f t="shared" si="15"/>
        <v>1.4521865618370374E-2</v>
      </c>
      <c r="H53" s="270">
        <f t="shared" si="15"/>
        <v>1.0175644916426583E-2</v>
      </c>
      <c r="I53" s="271">
        <f>I49/I51</f>
        <v>39.433183374125122</v>
      </c>
      <c r="J53" s="271">
        <f t="shared" si="15"/>
        <v>71.440318907975254</v>
      </c>
      <c r="K53" s="272">
        <f>I53+J53</f>
        <v>110.87350228210038</v>
      </c>
      <c r="L53" s="475">
        <f>ROUND(K55/30.5,2)</f>
        <v>3.64</v>
      </c>
      <c r="M53" s="26"/>
      <c r="N53" s="26"/>
    </row>
    <row r="54" spans="1:14" ht="15.3" x14ac:dyDescent="0.55000000000000004">
      <c r="A54" s="26"/>
      <c r="B54" s="26"/>
      <c r="C54" s="26"/>
      <c r="D54" s="26"/>
      <c r="E54" s="26"/>
      <c r="F54" s="26"/>
      <c r="G54" s="26"/>
      <c r="H54" s="26"/>
      <c r="I54" s="26"/>
      <c r="J54" s="26"/>
      <c r="K54" s="26"/>
      <c r="L54" s="415" t="s">
        <v>2471</v>
      </c>
      <c r="M54" s="415" t="s">
        <v>2472</v>
      </c>
      <c r="N54" s="26"/>
    </row>
    <row r="55" spans="1:14" ht="15.3" x14ac:dyDescent="0.55000000000000004">
      <c r="A55" s="26"/>
      <c r="B55" s="26"/>
      <c r="C55" s="26"/>
      <c r="D55" s="274"/>
      <c r="E55" s="26"/>
      <c r="F55" s="26"/>
      <c r="G55" s="26"/>
      <c r="H55" s="26"/>
      <c r="I55" s="26"/>
      <c r="J55" s="26" t="s">
        <v>2257</v>
      </c>
      <c r="K55" s="291">
        <f>I53+J53</f>
        <v>110.87350228210038</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2262</v>
      </c>
      <c r="K56" s="289">
        <f>E53+G53+H53</f>
        <v>6.7422597964798131E-2</v>
      </c>
      <c r="L56" s="418">
        <f>L55*K53</f>
        <v>48.78431233445307</v>
      </c>
      <c r="M56" s="418">
        <f>M55*K53</f>
        <v>62.089189947647306</v>
      </c>
      <c r="N56" s="26"/>
    </row>
    <row r="57" spans="1:14" ht="15.3" x14ac:dyDescent="0.55000000000000004">
      <c r="A57" s="26"/>
      <c r="B57" s="26"/>
      <c r="C57" s="26"/>
      <c r="D57" s="279"/>
      <c r="E57" s="26"/>
      <c r="F57" s="26"/>
      <c r="G57" s="26"/>
      <c r="H57" s="26"/>
      <c r="I57" s="26"/>
      <c r="J57" s="26" t="s">
        <v>2258</v>
      </c>
      <c r="K57" s="289">
        <f>F53</f>
        <v>3.2228414467229183E-2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2259</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2260</v>
      </c>
      <c r="K60" s="295">
        <f>(K55-K59)*I51</f>
        <v>11308.135611629205</v>
      </c>
      <c r="L60" s="279"/>
      <c r="M60" s="26"/>
      <c r="N60" s="26"/>
    </row>
    <row r="61" spans="1:14" ht="15.3" x14ac:dyDescent="0.55000000000000004">
      <c r="A61" s="26"/>
      <c r="B61" s="26"/>
      <c r="C61" s="26"/>
      <c r="D61" s="26"/>
      <c r="E61" s="26"/>
      <c r="F61" s="26"/>
      <c r="G61" s="26"/>
      <c r="H61" s="26"/>
      <c r="I61" s="26"/>
      <c r="J61" s="293" t="s">
        <v>2261</v>
      </c>
      <c r="K61" s="296">
        <f>K60/H51</f>
        <v>8.7967511996178235E-5</v>
      </c>
      <c r="L61" s="26"/>
      <c r="M61" s="26"/>
      <c r="N61" s="26"/>
    </row>
    <row r="62" spans="1:14" ht="15.3" x14ac:dyDescent="0.55000000000000004">
      <c r="J62" s="293" t="s">
        <v>2263</v>
      </c>
      <c r="K62" s="32">
        <v>5.8999999999999999E-3</v>
      </c>
    </row>
    <row r="63" spans="1:14" ht="15.3" x14ac:dyDescent="0.55000000000000004">
      <c r="J63" s="293" t="s">
        <v>2264</v>
      </c>
      <c r="K63" s="297">
        <f>K61+K62+K56</f>
        <v>7.3410565476794309E-2</v>
      </c>
      <c r="L63" s="300">
        <f>K63+K57</f>
        <v>0.10563897994402349</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1361</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1819</v>
      </c>
      <c r="B3" s="525"/>
      <c r="C3" s="525"/>
      <c r="D3" s="525"/>
      <c r="E3" s="525"/>
      <c r="F3" s="525"/>
      <c r="G3" s="525"/>
      <c r="H3" s="525"/>
      <c r="I3" s="525"/>
      <c r="J3" s="525"/>
      <c r="K3" s="525"/>
      <c r="L3" s="525"/>
      <c r="M3" s="525"/>
      <c r="N3" s="525"/>
    </row>
    <row r="4" spans="1:14" ht="15" x14ac:dyDescent="0.5">
      <c r="A4" s="525" t="s">
        <v>2554</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1847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1815</v>
      </c>
      <c r="F9" s="524"/>
      <c r="G9" s="229" t="s">
        <v>439</v>
      </c>
      <c r="H9" s="523" t="s">
        <v>112</v>
      </c>
      <c r="I9" s="524"/>
      <c r="J9" s="229" t="s">
        <v>1820</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1128</v>
      </c>
      <c r="B14" s="244" t="s">
        <v>181</v>
      </c>
      <c r="C14" s="245"/>
      <c r="D14" s="246">
        <f>'WSS-28'!K174</f>
        <v>458864450.23790866</v>
      </c>
      <c r="E14" s="247">
        <f>'WSS-28'!K123+'WSS-28'!K124+'WSS-28'!K125</f>
        <v>306411770.42458898</v>
      </c>
      <c r="F14" s="248">
        <f>'WSS-28'!K126</f>
        <v>7860099.5094042588</v>
      </c>
      <c r="G14" s="248">
        <f>'WSS-28'!K135</f>
        <v>86331022.667772606</v>
      </c>
      <c r="H14" s="248">
        <f>'WSS-28'!K145+'WSS-28'!K147+'WSS-28'!K152+'WSS-28'!K141</f>
        <v>49625294.633884221</v>
      </c>
      <c r="I14" s="248">
        <f>'WSS-28'!K146+'WSS-28'!K148+'WSS-28'!K153+'WSS-28'!K157+'WSS-28'!K160+'WSS-28'!K163</f>
        <v>8316204.2646125071</v>
      </c>
      <c r="J14" s="248">
        <f>'WSS-28'!K166+'WSS-28'!K169</f>
        <v>320058.73764619022</v>
      </c>
      <c r="K14" s="249">
        <f>SUM(E14:J14)</f>
        <v>458864450.23790872</v>
      </c>
      <c r="L14" s="250" t="str">
        <f>IF(ABS(K14-D14)&lt;0.01,"ok","err")</f>
        <v>ok</v>
      </c>
      <c r="M14" s="26"/>
      <c r="N14" s="26"/>
    </row>
    <row r="15" spans="1:14" ht="15.3" x14ac:dyDescent="0.55000000000000004">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1797</v>
      </c>
      <c r="B16" s="244" t="s">
        <v>1798</v>
      </c>
      <c r="C16" s="245"/>
      <c r="D16" s="253">
        <f>D14+D15</f>
        <v>458864450.23790866</v>
      </c>
      <c r="E16" s="253">
        <f t="shared" ref="E16:K16" si="1">E14+E15</f>
        <v>306411770.42458898</v>
      </c>
      <c r="F16" s="254">
        <f t="shared" si="1"/>
        <v>7860099.5094042588</v>
      </c>
      <c r="G16" s="254">
        <f t="shared" si="1"/>
        <v>86331022.667772606</v>
      </c>
      <c r="H16" s="254">
        <f t="shared" si="1"/>
        <v>49625294.633884221</v>
      </c>
      <c r="I16" s="254">
        <f t="shared" si="1"/>
        <v>8316204.2646125071</v>
      </c>
      <c r="J16" s="254">
        <f t="shared" si="1"/>
        <v>320058.73764619022</v>
      </c>
      <c r="K16" s="249">
        <f t="shared" si="1"/>
        <v>458864450.23790872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1799</v>
      </c>
      <c r="B18" s="244" t="s">
        <v>421</v>
      </c>
      <c r="C18" s="245"/>
      <c r="D18" s="258">
        <f>'WSS-28'!K807</f>
        <v>0.12997724367334346</v>
      </c>
      <c r="E18" s="258">
        <f t="shared" ref="E18:J18" si="2">D18</f>
        <v>0.12997724367334346</v>
      </c>
      <c r="F18" s="259">
        <f t="shared" si="2"/>
        <v>0.12997724367334346</v>
      </c>
      <c r="G18" s="259">
        <f t="shared" si="2"/>
        <v>0.12997724367334346</v>
      </c>
      <c r="H18" s="259">
        <f t="shared" si="2"/>
        <v>0.12997724367334346</v>
      </c>
      <c r="I18" s="259">
        <f t="shared" si="2"/>
        <v>0.12997724367334346</v>
      </c>
      <c r="J18" s="259">
        <f t="shared" si="2"/>
        <v>0.12997724367334346</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1800</v>
      </c>
      <c r="B20" s="244" t="s">
        <v>1801</v>
      </c>
      <c r="C20" s="245"/>
      <c r="D20" s="253">
        <f>D18*D16</f>
        <v>59641936.461607434</v>
      </c>
      <c r="E20" s="253">
        <f t="shared" ref="E20:J20" si="3">E18*E16</f>
        <v>39826557.348857373</v>
      </c>
      <c r="F20" s="254">
        <f t="shared" si="3"/>
        <v>1021634.0692305648</v>
      </c>
      <c r="G20" s="254">
        <f t="shared" si="3"/>
        <v>11221068.369858017</v>
      </c>
      <c r="H20" s="254">
        <f t="shared" si="3"/>
        <v>6450159.012989833</v>
      </c>
      <c r="I20" s="254">
        <f t="shared" si="3"/>
        <v>1080917.3081388378</v>
      </c>
      <c r="J20" s="254">
        <f t="shared" si="3"/>
        <v>41600.352532821569</v>
      </c>
      <c r="K20" s="249">
        <f>SUM(E20:J20)</f>
        <v>59641936.461607449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1261</v>
      </c>
      <c r="B22" s="244" t="s">
        <v>1802</v>
      </c>
      <c r="C22" s="245"/>
      <c r="D22" s="253">
        <f>'WSS-28'!K708</f>
        <v>9810884.4043136351</v>
      </c>
      <c r="E22" s="253">
        <f t="shared" ref="E22:J22" si="4">(E14/$D$14)*$D$22</f>
        <v>6551325.6871350845</v>
      </c>
      <c r="F22" s="254">
        <f t="shared" si="4"/>
        <v>168055.136224185</v>
      </c>
      <c r="G22" s="254">
        <f t="shared" si="4"/>
        <v>1845825.4577371583</v>
      </c>
      <c r="H22" s="254">
        <f t="shared" si="4"/>
        <v>1061027.9984222271</v>
      </c>
      <c r="I22" s="254">
        <f t="shared" si="4"/>
        <v>177807.01616887419</v>
      </c>
      <c r="J22" s="254">
        <f t="shared" si="4"/>
        <v>6843.1086261079536</v>
      </c>
      <c r="K22" s="249">
        <f>SUM(E22:J22)</f>
        <v>9810884.4043136388</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1262</v>
      </c>
      <c r="B24" s="244" t="s">
        <v>197</v>
      </c>
      <c r="C24" s="245"/>
      <c r="D24" s="253">
        <f>D20-D22</f>
        <v>49831052.057293802</v>
      </c>
      <c r="E24" s="253">
        <f t="shared" ref="E24:J24" si="5">E20-E22</f>
        <v>33275231.661722288</v>
      </c>
      <c r="F24" s="254">
        <f t="shared" si="5"/>
        <v>853578.93300637975</v>
      </c>
      <c r="G24" s="254">
        <f t="shared" si="5"/>
        <v>9375242.9121208582</v>
      </c>
      <c r="H24" s="254">
        <f t="shared" si="5"/>
        <v>5389131.0145676062</v>
      </c>
      <c r="I24" s="254">
        <f t="shared" si="5"/>
        <v>903110.29196996358</v>
      </c>
      <c r="J24" s="254">
        <f t="shared" si="5"/>
        <v>34757.243906713615</v>
      </c>
      <c r="K24" s="249">
        <f>SUM(E24:J24)</f>
        <v>49831052.057293802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1263</v>
      </c>
      <c r="B26" s="244" t="s">
        <v>528</v>
      </c>
      <c r="C26" s="245"/>
      <c r="D26" s="253">
        <f>'WSS-28'!K680+'WSS-28'!K799</f>
        <v>11062646.743898381</v>
      </c>
      <c r="E26" s="253">
        <f t="shared" ref="E26:J26" si="6">$D$26*(E24/$K$24)</f>
        <v>7387203.7213217039</v>
      </c>
      <c r="F26" s="254">
        <f t="shared" si="6"/>
        <v>189497.14714082834</v>
      </c>
      <c r="G26" s="254">
        <f t="shared" si="6"/>
        <v>2081332.7472151846</v>
      </c>
      <c r="H26" s="254">
        <f t="shared" si="6"/>
        <v>1196403.6521284275</v>
      </c>
      <c r="I26" s="254">
        <f t="shared" si="6"/>
        <v>200493.26109662731</v>
      </c>
      <c r="J26" s="254">
        <f t="shared" si="6"/>
        <v>7716.2149956094827</v>
      </c>
      <c r="K26" s="249">
        <f>SUM(E26:J26)</f>
        <v>11062646.743898381</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1264</v>
      </c>
      <c r="B28" s="244" t="s">
        <v>769</v>
      </c>
      <c r="C28" s="245"/>
      <c r="D28" s="253">
        <f>'WSS-28'!K730</f>
        <v>80219148.685030729</v>
      </c>
      <c r="E28" s="253">
        <f>'WSS-28'!K180+'WSS-28'!K181+'WSS-28'!K182</f>
        <v>13720367.569200814</v>
      </c>
      <c r="F28" s="254">
        <f>'WSS-28'!K183</f>
        <v>54831541.083970971</v>
      </c>
      <c r="G28" s="254">
        <f>'WSS-28'!K192</f>
        <v>5845271.0483322367</v>
      </c>
      <c r="H28" s="254">
        <f>'WSS-28'!K198+'WSS-28'!K202+'WSS-28'!K204+'WSS-28'!K209</f>
        <v>2708485.8659884436</v>
      </c>
      <c r="I28" s="254">
        <f>'WSS-28'!K203+'WSS-28'!K205+'WSS-28'!K210+'WSS-28'!K214+'WSS-28'!K217</f>
        <v>1214710.0369196455</v>
      </c>
      <c r="J28" s="254">
        <f>'WSS-28'!K223+'WSS-28'!K226</f>
        <v>1898773.0806186204</v>
      </c>
      <c r="K28" s="249">
        <f>SUM(E28:J28)</f>
        <v>80219148.685030729</v>
      </c>
      <c r="L28" s="250" t="str">
        <f>IF(ABS(K28-D28)&lt;0.01,"ok","err")</f>
        <v>ok</v>
      </c>
      <c r="M28" s="26"/>
      <c r="N28" s="26"/>
    </row>
    <row r="29" spans="1:14" ht="15.3" x14ac:dyDescent="0.55000000000000004">
      <c r="A29" s="282" t="s">
        <v>1803</v>
      </c>
      <c r="B29" s="244" t="s">
        <v>813</v>
      </c>
      <c r="C29" s="245"/>
      <c r="D29" s="253">
        <f>'WSS-28'!K731</f>
        <v>35444201.894145571</v>
      </c>
      <c r="E29" s="253">
        <f>'WSS-28'!K300</f>
        <v>29730196.847648963</v>
      </c>
      <c r="F29" s="254">
        <v>0</v>
      </c>
      <c r="G29" s="254">
        <f>'WSS-28'!K306</f>
        <v>3550071.8792183171</v>
      </c>
      <c r="H29" s="254">
        <f>'WSS-28'!K312+'WSS-28'!K316+'WSS-28'!K318+'WSS-28'!K323</f>
        <v>1820810.9599809689</v>
      </c>
      <c r="I29" s="254">
        <f>'WSS-28'!K317+'WSS-28'!K319+'WSS-28'!K324+'WSS-28'!K328+'WSS-28'!K331</f>
        <v>343122.20729733026</v>
      </c>
      <c r="J29" s="254">
        <v>0</v>
      </c>
      <c r="K29" s="249">
        <f>SUM(E29:J29)</f>
        <v>35444201.894145586</v>
      </c>
      <c r="L29" s="250" t="str">
        <f>IF(ABS(K29-D29)&lt;0.01,"ok","err")</f>
        <v>ok</v>
      </c>
      <c r="M29" s="26"/>
      <c r="N29" s="26"/>
    </row>
    <row r="30" spans="1:14" ht="15.3" x14ac:dyDescent="0.55000000000000004">
      <c r="A30" s="282" t="s">
        <v>1804</v>
      </c>
      <c r="B30" s="244" t="s">
        <v>408</v>
      </c>
      <c r="C30" s="245"/>
      <c r="D30" s="253">
        <f>'WSS-28'!K733+'WSS-28'!K734</f>
        <v>4434471.5710576624</v>
      </c>
      <c r="E30" s="253">
        <f>'WSS-28'!K414+'WSS-28'!K471+'WSS-28'!K357</f>
        <v>3184125.7088286672</v>
      </c>
      <c r="F30" s="254">
        <f>'WSS-28'!K529</f>
        <v>0</v>
      </c>
      <c r="G30" s="254">
        <f>'WSS-28'!K420+'WSS-28'!K477+'WSS-28'!K363</f>
        <v>714849.37343316269</v>
      </c>
      <c r="H30" s="254">
        <f>'WSS-28'!K426+'WSS-28'!K430+'WSS-28'!K432+'WSS-28'!K437+'WSS-28'!K483+'WSS-28'!K487+'WSS-28'!K489+'WSS-28'!K494+'WSS-28'!K369+'WSS-28'!K373+'WSS-28'!K375+'WSS-28'!K380</f>
        <v>450460.75480528938</v>
      </c>
      <c r="I30" s="254">
        <f>'WSS-28'!K431+'WSS-28'!K433+'WSS-28'!K438+'WSS-28'!K442+'WSS-28'!K445+'WSS-28'!K488+'WSS-28'!K490+'WSS-28'!K495+'WSS-28'!K499+'WSS-28'!K502+'WSS-28'!K374+'WSS-28'!K376+'WSS-28'!K381+'WSS-28'!K385+'WSS-28'!K388</f>
        <v>85035.733990543929</v>
      </c>
      <c r="J30" s="254">
        <v>0</v>
      </c>
      <c r="K30" s="249">
        <f>SUM(E30:J30)</f>
        <v>4434471.5710576624</v>
      </c>
      <c r="L30" s="250" t="str">
        <f>IF(ABS(K30-D30)&lt;0.01,"ok","err")</f>
        <v>ok</v>
      </c>
      <c r="M30" s="26"/>
      <c r="N30" s="26"/>
    </row>
    <row r="31" spans="1:14" ht="15.3" x14ac:dyDescent="0.55000000000000004">
      <c r="A31" s="282" t="s">
        <v>1805</v>
      </c>
      <c r="B31" s="244" t="s">
        <v>1841</v>
      </c>
      <c r="C31" s="245"/>
      <c r="D31" s="253">
        <f>'WSS-28'!K738</f>
        <v>1920796.5301073552</v>
      </c>
      <c r="E31" s="253">
        <f>D31</f>
        <v>1920796.5301073552</v>
      </c>
      <c r="F31" s="254"/>
      <c r="G31" s="254"/>
      <c r="H31" s="254"/>
      <c r="I31" s="254"/>
      <c r="J31" s="254"/>
      <c r="K31" s="249">
        <f>SUM(E31:J31)</f>
        <v>1920796.5301073552</v>
      </c>
      <c r="L31" s="250" t="str">
        <f>IF(ABS(K31-D31)&lt;0.01,"ok","err")</f>
        <v>ok</v>
      </c>
      <c r="M31" s="26"/>
      <c r="N31" s="26"/>
    </row>
    <row r="32" spans="1:14" ht="15.3" x14ac:dyDescent="0.55000000000000004">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1809</v>
      </c>
      <c r="B34" s="244" t="s">
        <v>1826</v>
      </c>
      <c r="C34" s="245"/>
      <c r="D34" s="253">
        <v>0</v>
      </c>
      <c r="E34" s="253" t="s">
        <v>2481</v>
      </c>
      <c r="F34" s="254">
        <v>0</v>
      </c>
      <c r="G34" s="254">
        <f>D34</f>
        <v>0</v>
      </c>
      <c r="H34" s="254">
        <v>0</v>
      </c>
      <c r="I34" s="254">
        <v>0</v>
      </c>
      <c r="J34" s="254">
        <v>0</v>
      </c>
      <c r="K34" s="249">
        <f t="shared" si="8"/>
        <v>0</v>
      </c>
      <c r="L34" s="250" t="str">
        <f t="shared" si="7"/>
        <v>ok</v>
      </c>
      <c r="M34" s="26"/>
      <c r="N34" s="26"/>
    </row>
    <row r="35" spans="1:14" ht="15.3" x14ac:dyDescent="0.55000000000000004">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1813</v>
      </c>
      <c r="B36" s="244" t="s">
        <v>1825</v>
      </c>
      <c r="C36" s="245"/>
      <c r="D36" s="253">
        <f>'WSS-28'!K796+'WSS-28'!K797</f>
        <v>96705.178729663108</v>
      </c>
      <c r="E36" s="253">
        <f t="shared" ref="E36:J36" si="9">(E14/($D$14)*$D$36)</f>
        <v>64575.943959962904</v>
      </c>
      <c r="F36" s="254">
        <f t="shared" si="9"/>
        <v>1656.5073356538705</v>
      </c>
      <c r="G36" s="254">
        <f t="shared" si="9"/>
        <v>18194.168174660288</v>
      </c>
      <c r="H36" s="254">
        <f t="shared" si="9"/>
        <v>10458.476320390047</v>
      </c>
      <c r="I36" s="254">
        <f t="shared" si="9"/>
        <v>1752.6309116881314</v>
      </c>
      <c r="J36" s="254">
        <f t="shared" si="9"/>
        <v>67.452027307885274</v>
      </c>
      <c r="K36" s="249">
        <f t="shared" si="8"/>
        <v>96705.178729663123</v>
      </c>
      <c r="L36" s="250" t="str">
        <f t="shared" si="7"/>
        <v>ok</v>
      </c>
      <c r="M36" s="26"/>
      <c r="N36" s="26"/>
    </row>
    <row r="37" spans="1:14" ht="15.3" x14ac:dyDescent="0.55000000000000004">
      <c r="A37" s="284" t="s">
        <v>1827</v>
      </c>
      <c r="B37" s="244" t="s">
        <v>2266</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1828</v>
      </c>
      <c r="B39" s="244" t="s">
        <v>1832</v>
      </c>
      <c r="C39" s="245"/>
      <c r="D39" s="253">
        <f t="shared" ref="D39:J39" si="10">SUM(D32:D37)</f>
        <v>96705.178729663108</v>
      </c>
      <c r="E39" s="253">
        <f t="shared" si="10"/>
        <v>64575.943959962904</v>
      </c>
      <c r="F39" s="254">
        <f t="shared" si="10"/>
        <v>1656.5073356538705</v>
      </c>
      <c r="G39" s="254">
        <f t="shared" si="10"/>
        <v>18194.168174660288</v>
      </c>
      <c r="H39" s="254">
        <f t="shared" si="10"/>
        <v>10458.476320390047</v>
      </c>
      <c r="I39" s="254">
        <f t="shared" si="10"/>
        <v>1752.6309116881314</v>
      </c>
      <c r="J39" s="254">
        <f t="shared" si="10"/>
        <v>67.452027307885274</v>
      </c>
      <c r="K39" s="249">
        <f t="shared" si="8"/>
        <v>96705.178729663123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1829</v>
      </c>
      <c r="B41" s="244" t="s">
        <v>1807</v>
      </c>
      <c r="C41" s="260"/>
      <c r="D41" s="253">
        <f>SUM(D28:D31)+D22+D26+D39+D24</f>
        <v>192819907.0645768</v>
      </c>
      <c r="E41" s="253">
        <f t="shared" ref="E41:J41" si="11">SUM(E28:E31)+E22+E26+E39+E24</f>
        <v>95833823.66992484</v>
      </c>
      <c r="F41" s="254">
        <f t="shared" si="11"/>
        <v>56044328.807678029</v>
      </c>
      <c r="G41" s="254">
        <f t="shared" si="11"/>
        <v>23430787.586231582</v>
      </c>
      <c r="H41" s="254">
        <f t="shared" si="11"/>
        <v>12636778.722213352</v>
      </c>
      <c r="I41" s="254">
        <f t="shared" si="11"/>
        <v>2926031.1783546731</v>
      </c>
      <c r="J41" s="254">
        <f t="shared" si="11"/>
        <v>1948157.1001743593</v>
      </c>
      <c r="K41" s="249">
        <f>SUM(E41:J41)</f>
        <v>192819907.06457686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1830</v>
      </c>
      <c r="B43" s="244" t="s">
        <v>2256</v>
      </c>
      <c r="C43" s="245"/>
      <c r="D43" s="253">
        <f>-'WSS-28'!K659-'WSS-28'!K665</f>
        <v>-146517.94254989771</v>
      </c>
      <c r="E43" s="253">
        <f>D43</f>
        <v>-146517.94254989771</v>
      </c>
      <c r="F43" s="254">
        <v>0</v>
      </c>
      <c r="G43" s="254">
        <v>0</v>
      </c>
      <c r="H43" s="254">
        <v>0</v>
      </c>
      <c r="I43" s="254">
        <v>0</v>
      </c>
      <c r="J43" s="254">
        <v>0</v>
      </c>
      <c r="K43" s="249">
        <f>SUM(E43:J43)</f>
        <v>-146517.94254989771</v>
      </c>
      <c r="L43" s="250" t="str">
        <f>IF(ABS(K43-D43)&lt;0.01,"ok","err")</f>
        <v>ok</v>
      </c>
      <c r="M43" s="26"/>
      <c r="N43" s="26"/>
    </row>
    <row r="44" spans="1:14" ht="15.3" x14ac:dyDescent="0.55000000000000004">
      <c r="A44" s="282" t="s">
        <v>1831</v>
      </c>
      <c r="B44" s="244" t="s">
        <v>1833</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1835</v>
      </c>
      <c r="B45" s="244" t="s">
        <v>2470</v>
      </c>
      <c r="C45" s="245"/>
      <c r="D45" s="253">
        <f>-'WSS-28'!K658</f>
        <v>-2688109.214605567</v>
      </c>
      <c r="E45" s="253">
        <v>0</v>
      </c>
      <c r="F45" s="254">
        <v>0</v>
      </c>
      <c r="G45" s="254">
        <f>D45</f>
        <v>-2688109.214605567</v>
      </c>
      <c r="H45" s="254">
        <v>0</v>
      </c>
      <c r="I45" s="254">
        <v>0</v>
      </c>
      <c r="J45" s="254">
        <v>0</v>
      </c>
      <c r="K45" s="249">
        <f>SUM(E45:J45)</f>
        <v>-2688109.214605567</v>
      </c>
      <c r="L45" s="250" t="str">
        <f>IF(ABS(K45-D45)&lt;0.01,"ok","err")</f>
        <v>ok</v>
      </c>
      <c r="M45" s="26"/>
      <c r="N45" s="26"/>
    </row>
    <row r="46" spans="1:14" ht="15.3" x14ac:dyDescent="0.55000000000000004">
      <c r="A46" s="282" t="s">
        <v>1836</v>
      </c>
      <c r="B46" s="244" t="s">
        <v>1834</v>
      </c>
      <c r="C46" s="245"/>
      <c r="D46" s="253">
        <f>-('WSS-28'!K654+'WSS-28'!K655+'WSS-28'!K656+'WSS-28'!K657+'WSS-28'!K660+'WSS-28'!K662+'WSS-28'!K663+'WSS-28'!K664)</f>
        <v>-599212.74713822547</v>
      </c>
      <c r="E46" s="253">
        <f t="shared" ref="E46:J46" si="12">(E14/($D$14)*$D$46)</f>
        <v>-400130.88531136076</v>
      </c>
      <c r="F46" s="254">
        <f t="shared" si="12"/>
        <v>-10264.189822000821</v>
      </c>
      <c r="G46" s="254">
        <f t="shared" si="12"/>
        <v>-112736.23229951136</v>
      </c>
      <c r="H46" s="254">
        <f t="shared" si="12"/>
        <v>-64803.688997254518</v>
      </c>
      <c r="I46" s="254">
        <f t="shared" si="12"/>
        <v>-10859.798793690483</v>
      </c>
      <c r="J46" s="254">
        <f t="shared" si="12"/>
        <v>-417.9519144076902</v>
      </c>
      <c r="K46" s="249">
        <f>SUM(E46:J46)</f>
        <v>-599212.74713822559</v>
      </c>
      <c r="L46" s="250" t="str">
        <f>IF(ABS(K46-D46)&lt;0.01,"ok","err")</f>
        <v>ok</v>
      </c>
      <c r="M46" s="26"/>
      <c r="N46" s="26"/>
    </row>
    <row r="47" spans="1:14" ht="15.3" x14ac:dyDescent="0.55000000000000004">
      <c r="A47" s="282" t="s">
        <v>1842</v>
      </c>
      <c r="B47" s="244" t="s">
        <v>1837</v>
      </c>
      <c r="C47" s="245"/>
      <c r="D47" s="253">
        <f>SUM(D43:D46)</f>
        <v>-4308804.2929802686</v>
      </c>
      <c r="E47" s="253">
        <f t="shared" ref="E47:J47" si="13">SUM(E43:E46)</f>
        <v>-546648.82786125853</v>
      </c>
      <c r="F47" s="254">
        <f t="shared" si="13"/>
        <v>-885228.57850857894</v>
      </c>
      <c r="G47" s="254">
        <f t="shared" si="13"/>
        <v>-2800845.4469050784</v>
      </c>
      <c r="H47" s="254">
        <f t="shared" si="13"/>
        <v>-64803.688997254518</v>
      </c>
      <c r="I47" s="254">
        <f t="shared" si="13"/>
        <v>-10859.798793690483</v>
      </c>
      <c r="J47" s="254">
        <f t="shared" si="13"/>
        <v>-417.9519144076902</v>
      </c>
      <c r="K47" s="249">
        <f>SUM(E47:J47)</f>
        <v>-4308804.2929802677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1843</v>
      </c>
      <c r="B49" s="244" t="s">
        <v>1810</v>
      </c>
      <c r="C49" s="262" t="e">
        <f>'WSS-28'!#REF!-SUM('WSS-28'!I652:I665)-'WSS-28'!#REF!-'WSS-28'!#REF!-'WSS-28'!#REF!</f>
        <v>#REF!</v>
      </c>
      <c r="D49" s="253">
        <f>D41+D47</f>
        <v>188511102.77159655</v>
      </c>
      <c r="E49" s="253">
        <f t="shared" ref="E49:J49" si="14">E41+E47</f>
        <v>95287174.842063576</v>
      </c>
      <c r="F49" s="254">
        <f t="shared" si="14"/>
        <v>55159100.229169451</v>
      </c>
      <c r="G49" s="254">
        <f t="shared" si="14"/>
        <v>20629942.139326505</v>
      </c>
      <c r="H49" s="254">
        <f t="shared" si="14"/>
        <v>12571975.033216098</v>
      </c>
      <c r="I49" s="254">
        <f t="shared" si="14"/>
        <v>2915171.3795609828</v>
      </c>
      <c r="J49" s="254">
        <f t="shared" si="14"/>
        <v>1947739.1482599515</v>
      </c>
      <c r="K49" s="249">
        <f>SUM(E49:J49)</f>
        <v>188511102.77159655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2268</v>
      </c>
      <c r="B51" s="244" t="s">
        <v>1812</v>
      </c>
      <c r="C51" s="245"/>
      <c r="D51" s="263"/>
      <c r="E51" s="251">
        <v>5473847.4691718873</v>
      </c>
      <c r="F51" s="265">
        <f>'Billing Det'!$C$16</f>
        <v>1699193305</v>
      </c>
      <c r="G51" s="265">
        <f>$E$51</f>
        <v>5473847.4691718873</v>
      </c>
      <c r="H51" s="265">
        <f>$E$51</f>
        <v>5473847.4691718873</v>
      </c>
      <c r="I51" s="265">
        <f>'WSS-28'!K830</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2473</v>
      </c>
      <c r="B53" s="266" t="s">
        <v>1814</v>
      </c>
      <c r="C53" s="267"/>
      <c r="D53" s="268"/>
      <c r="E53" s="446">
        <f t="shared" ref="E53:J53" si="15">E49/E51</f>
        <v>17.407714661161197</v>
      </c>
      <c r="F53" s="270">
        <f t="shared" si="15"/>
        <v>3.2461933593346787E-2</v>
      </c>
      <c r="G53" s="447">
        <f t="shared" si="15"/>
        <v>3.7688193278150499</v>
      </c>
      <c r="H53" s="447">
        <f t="shared" si="15"/>
        <v>2.2967346284345869</v>
      </c>
      <c r="I53" s="271">
        <f>I49/I51</f>
        <v>54.705535919485285</v>
      </c>
      <c r="J53" s="271">
        <f t="shared" si="15"/>
        <v>36.550891890606074</v>
      </c>
      <c r="K53" s="272">
        <f>I53+J53</f>
        <v>91.256427810091367</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2257</v>
      </c>
      <c r="K55" s="445">
        <f>I53+J53</f>
        <v>91.256427810091367</v>
      </c>
      <c r="L55" s="291">
        <f>ROUND(K55/30.5,2)</f>
        <v>2.99</v>
      </c>
      <c r="M55" s="26"/>
      <c r="N55" s="26"/>
    </row>
    <row r="56" spans="1:14" ht="15.3" x14ac:dyDescent="0.55000000000000004">
      <c r="A56" s="26"/>
      <c r="B56" s="26"/>
      <c r="C56" s="26"/>
      <c r="D56" s="290"/>
      <c r="E56" s="26"/>
      <c r="F56" s="26"/>
      <c r="G56" s="26"/>
      <c r="H56" s="26"/>
      <c r="I56" s="26"/>
      <c r="J56" s="26" t="s">
        <v>2267</v>
      </c>
      <c r="K56" s="279">
        <f>E53+G53+H53</f>
        <v>23.473268617410831</v>
      </c>
      <c r="L56" s="26"/>
      <c r="M56" s="26"/>
      <c r="N56" s="26"/>
    </row>
    <row r="57" spans="1:14" ht="15.3" x14ac:dyDescent="0.55000000000000004">
      <c r="A57" s="26"/>
      <c r="B57" s="26"/>
      <c r="C57" s="26"/>
      <c r="D57" s="279"/>
      <c r="E57" s="26"/>
      <c r="F57" s="26"/>
      <c r="G57" s="26"/>
      <c r="H57" s="26"/>
      <c r="I57" s="26"/>
      <c r="J57" s="26" t="s">
        <v>2272</v>
      </c>
      <c r="K57" s="289">
        <f>F53</f>
        <v>3.2461933593346787E-2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FA7248-F230-4F54-8B23-3F7A1336C40A}">
  <ds:schemaRefs>
    <ds:schemaRef ds:uri="http://schemas.microsoft.com/sharepoint/v3/contenttype/forms"/>
  </ds:schemaRefs>
</ds:datastoreItem>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